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140" yWindow="-75" windowWidth="15630" windowHeight="12735"/>
  </bookViews>
  <sheets>
    <sheet name="Porteiro Matutino" sheetId="1" r:id="rId1"/>
    <sheet name="Porteiro Vespertino" sheetId="4" r:id="rId2"/>
    <sheet name="Porteiro Noturno" sheetId="6" r:id="rId3"/>
    <sheet name="Porteiro Folguista" sheetId="7" r:id="rId4"/>
  </sheets>
  <calcPr calcId="145621"/>
</workbook>
</file>

<file path=xl/calcChain.xml><?xml version="1.0" encoding="utf-8"?>
<calcChain xmlns="http://schemas.openxmlformats.org/spreadsheetml/2006/main">
  <c r="C20" i="7" l="1"/>
  <c r="C17" i="7"/>
  <c r="C16" i="7"/>
  <c r="C15" i="7"/>
  <c r="P16" i="7"/>
  <c r="P15" i="7"/>
  <c r="K16" i="7"/>
  <c r="K11" i="7"/>
  <c r="J16" i="7"/>
  <c r="I13" i="7"/>
  <c r="J11" i="7"/>
  <c r="I11" i="7"/>
  <c r="H11" i="7"/>
  <c r="J18" i="7"/>
  <c r="I16" i="7"/>
  <c r="G16" i="7"/>
  <c r="C12" i="7"/>
  <c r="C11" i="7"/>
  <c r="D138" i="7"/>
  <c r="D132" i="7"/>
  <c r="D139" i="7" s="1"/>
  <c r="D99" i="7"/>
  <c r="D98" i="7"/>
  <c r="D97" i="7"/>
  <c r="D96" i="7"/>
  <c r="D95" i="7"/>
  <c r="D94" i="7"/>
  <c r="D83" i="7"/>
  <c r="D81" i="7"/>
  <c r="D80" i="7"/>
  <c r="D78" i="7"/>
  <c r="D61" i="7"/>
  <c r="D60" i="7"/>
  <c r="D51" i="7"/>
  <c r="D101" i="7" s="1"/>
  <c r="D49" i="7"/>
  <c r="C34" i="7"/>
  <c r="C38" i="7" s="1"/>
  <c r="C151" i="7" s="1"/>
  <c r="G25" i="7"/>
  <c r="F25" i="7" s="1"/>
  <c r="C25" i="7" s="1"/>
  <c r="J13" i="7"/>
  <c r="G11" i="7"/>
  <c r="C16" i="6"/>
  <c r="J11" i="6"/>
  <c r="I11" i="6"/>
  <c r="D137" i="6"/>
  <c r="D131" i="6"/>
  <c r="D138" i="6" s="1"/>
  <c r="D98" i="6"/>
  <c r="D97" i="6"/>
  <c r="D96" i="6"/>
  <c r="D95" i="6"/>
  <c r="D94" i="6"/>
  <c r="D93" i="6"/>
  <c r="D82" i="6"/>
  <c r="D80" i="6"/>
  <c r="D79" i="6"/>
  <c r="D77" i="6"/>
  <c r="D60" i="6"/>
  <c r="D59" i="6"/>
  <c r="D50" i="6"/>
  <c r="D100" i="6" s="1"/>
  <c r="D48" i="6"/>
  <c r="C33" i="6"/>
  <c r="C37" i="6" s="1"/>
  <c r="C150" i="6" s="1"/>
  <c r="G24" i="6"/>
  <c r="F24" i="6" s="1"/>
  <c r="C24" i="6" s="1"/>
  <c r="C29" i="6" s="1"/>
  <c r="C149" i="6" s="1"/>
  <c r="F23" i="6"/>
  <c r="C23" i="6"/>
  <c r="L13" i="6"/>
  <c r="J13" i="6"/>
  <c r="K11" i="6"/>
  <c r="L11" i="6" s="1"/>
  <c r="C15" i="6"/>
  <c r="G11" i="6"/>
  <c r="C11" i="6"/>
  <c r="C13" i="6" s="1"/>
  <c r="C16" i="4"/>
  <c r="C14" i="4"/>
  <c r="L13" i="4"/>
  <c r="J13" i="4"/>
  <c r="I13" i="4"/>
  <c r="C15" i="4"/>
  <c r="J11" i="4"/>
  <c r="H11" i="4"/>
  <c r="I11" i="4"/>
  <c r="G11" i="4"/>
  <c r="D137" i="4"/>
  <c r="D131" i="4"/>
  <c r="D138" i="4" s="1"/>
  <c r="D98" i="4"/>
  <c r="D97" i="4"/>
  <c r="D96" i="4"/>
  <c r="D95" i="4"/>
  <c r="D94" i="4"/>
  <c r="D93" i="4"/>
  <c r="D82" i="4"/>
  <c r="D80" i="4"/>
  <c r="D79" i="4"/>
  <c r="D77" i="4"/>
  <c r="D60" i="4"/>
  <c r="D59" i="4"/>
  <c r="D50" i="4"/>
  <c r="D100" i="4" s="1"/>
  <c r="D48" i="4"/>
  <c r="C33" i="4"/>
  <c r="C37" i="4" s="1"/>
  <c r="C150" i="4" s="1"/>
  <c r="G24" i="4"/>
  <c r="F24" i="4" s="1"/>
  <c r="C24" i="4" s="1"/>
  <c r="C11" i="4"/>
  <c r="C13" i="4" s="1"/>
  <c r="L11" i="7" l="1"/>
  <c r="L13" i="7"/>
  <c r="L18" i="7"/>
  <c r="C14" i="7"/>
  <c r="F24" i="7"/>
  <c r="C24" i="7" s="1"/>
  <c r="C30" i="7" s="1"/>
  <c r="C150" i="7" s="1"/>
  <c r="D82" i="7"/>
  <c r="C14" i="6"/>
  <c r="C19" i="6"/>
  <c r="D81" i="6"/>
  <c r="K11" i="4"/>
  <c r="F23" i="4"/>
  <c r="C23" i="4" s="1"/>
  <c r="C29" i="4" s="1"/>
  <c r="C149" i="4" s="1"/>
  <c r="D81" i="4"/>
  <c r="C32" i="1"/>
  <c r="C11" i="1"/>
  <c r="P11" i="7" l="1"/>
  <c r="P10" i="7"/>
  <c r="P12" i="7" s="1"/>
  <c r="L16" i="7"/>
  <c r="P17" i="7" s="1"/>
  <c r="C148" i="6"/>
  <c r="C49" i="6"/>
  <c r="C44" i="6"/>
  <c r="C98" i="6"/>
  <c r="C95" i="6"/>
  <c r="C43" i="6"/>
  <c r="C69" i="6"/>
  <c r="C48" i="6"/>
  <c r="C42" i="6"/>
  <c r="C97" i="6"/>
  <c r="C94" i="6"/>
  <c r="C47" i="6"/>
  <c r="C46" i="6"/>
  <c r="C96" i="6"/>
  <c r="C93" i="6"/>
  <c r="C77" i="6"/>
  <c r="C45" i="6"/>
  <c r="C59" i="6"/>
  <c r="C61" i="6" s="1"/>
  <c r="C60" i="6"/>
  <c r="C80" i="6"/>
  <c r="C82" i="6" s="1"/>
  <c r="L11" i="4"/>
  <c r="D59" i="1"/>
  <c r="D58" i="1"/>
  <c r="H23" i="1"/>
  <c r="F22" i="1"/>
  <c r="C22" i="1" s="1"/>
  <c r="D136" i="1"/>
  <c r="D130" i="1"/>
  <c r="D47" i="1"/>
  <c r="D49" i="1" s="1"/>
  <c r="D80" i="1" s="1"/>
  <c r="D97" i="1"/>
  <c r="D96" i="1"/>
  <c r="D95" i="1"/>
  <c r="D94" i="1"/>
  <c r="D93" i="1"/>
  <c r="D92" i="1"/>
  <c r="D81" i="1"/>
  <c r="D78" i="1"/>
  <c r="D79" i="1"/>
  <c r="D76" i="1"/>
  <c r="C13" i="1"/>
  <c r="C18" i="1" s="1"/>
  <c r="C58" i="1" s="1"/>
  <c r="C36" i="1"/>
  <c r="C149" i="1" s="1"/>
  <c r="C149" i="7" l="1"/>
  <c r="C50" i="7"/>
  <c r="C45" i="7"/>
  <c r="C99" i="7"/>
  <c r="C96" i="7"/>
  <c r="C44" i="7"/>
  <c r="C70" i="7"/>
  <c r="C49" i="7"/>
  <c r="C43" i="7"/>
  <c r="C98" i="7"/>
  <c r="C95" i="7"/>
  <c r="C48" i="7"/>
  <c r="C47" i="7"/>
  <c r="C97" i="7"/>
  <c r="C94" i="7"/>
  <c r="C78" i="7"/>
  <c r="C46" i="7"/>
  <c r="C81" i="7"/>
  <c r="C60" i="7"/>
  <c r="C61" i="7"/>
  <c r="C79" i="6"/>
  <c r="C78" i="6"/>
  <c r="C62" i="6"/>
  <c r="C63" i="6" s="1"/>
  <c r="C121" i="6" s="1"/>
  <c r="C99" i="6"/>
  <c r="C50" i="6"/>
  <c r="C120" i="6" s="1"/>
  <c r="C81" i="6"/>
  <c r="C70" i="6"/>
  <c r="C71" i="6" s="1"/>
  <c r="C122" i="6" s="1"/>
  <c r="C19" i="4"/>
  <c r="C59" i="1"/>
  <c r="C95" i="1"/>
  <c r="D137" i="1"/>
  <c r="C147" i="1"/>
  <c r="C94" i="1"/>
  <c r="C79" i="1"/>
  <c r="C81" i="1" s="1"/>
  <c r="C92" i="1"/>
  <c r="C97" i="1"/>
  <c r="C76" i="1"/>
  <c r="C93" i="1"/>
  <c r="C68" i="1"/>
  <c r="C96" i="1"/>
  <c r="C47" i="1"/>
  <c r="C46" i="1"/>
  <c r="C45" i="1"/>
  <c r="C44" i="1"/>
  <c r="C41" i="1"/>
  <c r="C43" i="1"/>
  <c r="C48" i="1"/>
  <c r="C42" i="1"/>
  <c r="D99" i="1"/>
  <c r="C83" i="7" l="1"/>
  <c r="C82" i="7"/>
  <c r="C100" i="7"/>
  <c r="C80" i="7"/>
  <c r="C79" i="7"/>
  <c r="C51" i="7"/>
  <c r="C121" i="7" s="1"/>
  <c r="C62" i="7"/>
  <c r="C71" i="7"/>
  <c r="C72" i="7" s="1"/>
  <c r="C123" i="7" s="1"/>
  <c r="C83" i="6"/>
  <c r="C123" i="6" s="1"/>
  <c r="C100" i="6"/>
  <c r="C101" i="6" s="1"/>
  <c r="C124" i="6" s="1"/>
  <c r="C125" i="6" s="1"/>
  <c r="C151" i="6" s="1"/>
  <c r="C152" i="6" s="1"/>
  <c r="C80" i="4"/>
  <c r="C49" i="4"/>
  <c r="C98" i="4"/>
  <c r="C95" i="4"/>
  <c r="C43" i="4"/>
  <c r="C148" i="4"/>
  <c r="C96" i="4"/>
  <c r="C94" i="4"/>
  <c r="C59" i="4"/>
  <c r="C77" i="4"/>
  <c r="C47" i="4"/>
  <c r="C42" i="4"/>
  <c r="C97" i="4"/>
  <c r="C93" i="4"/>
  <c r="C46" i="4"/>
  <c r="C44" i="4"/>
  <c r="C60" i="4"/>
  <c r="C45" i="4"/>
  <c r="C69" i="4"/>
  <c r="C70" i="4" s="1"/>
  <c r="C71" i="4" s="1"/>
  <c r="C122" i="4" s="1"/>
  <c r="C48" i="4"/>
  <c r="C80" i="1"/>
  <c r="C60" i="1"/>
  <c r="C77" i="1"/>
  <c r="C49" i="1"/>
  <c r="C119" i="1" s="1"/>
  <c r="C69" i="1"/>
  <c r="C70" i="1" s="1"/>
  <c r="C121" i="1" s="1"/>
  <c r="C78" i="1"/>
  <c r="C98" i="1"/>
  <c r="C84" i="7" l="1"/>
  <c r="C124" i="7" s="1"/>
  <c r="C101" i="7"/>
  <c r="C102" i="7" s="1"/>
  <c r="C125" i="7" s="1"/>
  <c r="C63" i="7"/>
  <c r="C64" i="7" s="1"/>
  <c r="C122" i="7" s="1"/>
  <c r="C126" i="7" s="1"/>
  <c r="C152" i="7" s="1"/>
  <c r="C153" i="7" s="1"/>
  <c r="C129" i="6"/>
  <c r="C61" i="4"/>
  <c r="C50" i="4"/>
  <c r="C120" i="4" s="1"/>
  <c r="C62" i="4"/>
  <c r="C63" i="4" s="1"/>
  <c r="C121" i="4" s="1"/>
  <c r="C78" i="4"/>
  <c r="C79" i="4"/>
  <c r="C99" i="4"/>
  <c r="C100" i="4" s="1"/>
  <c r="C101" i="4" s="1"/>
  <c r="C124" i="4" s="1"/>
  <c r="C82" i="4"/>
  <c r="C81" i="4"/>
  <c r="C61" i="1"/>
  <c r="C62" i="1" s="1"/>
  <c r="C120" i="1" s="1"/>
  <c r="C82" i="1"/>
  <c r="C122" i="1" s="1"/>
  <c r="C99" i="1"/>
  <c r="C100" i="1" s="1"/>
  <c r="C123" i="1" s="1"/>
  <c r="C130" i="7" l="1"/>
  <c r="C130" i="6"/>
  <c r="C131" i="6" s="1"/>
  <c r="C83" i="4"/>
  <c r="C123" i="4" s="1"/>
  <c r="C125" i="4"/>
  <c r="C151" i="4" s="1"/>
  <c r="C152" i="4" s="1"/>
  <c r="C124" i="1"/>
  <c r="C150" i="1" s="1"/>
  <c r="F23" i="1"/>
  <c r="C23" i="1" s="1"/>
  <c r="C131" i="7" l="1"/>
  <c r="C132" i="7" s="1"/>
  <c r="C132" i="6"/>
  <c r="C135" i="6"/>
  <c r="C134" i="6"/>
  <c r="C136" i="6"/>
  <c r="C133" i="6"/>
  <c r="C129" i="4"/>
  <c r="C130" i="4"/>
  <c r="C131" i="4" s="1"/>
  <c r="C28" i="1"/>
  <c r="C148" i="1" s="1"/>
  <c r="C151" i="1" s="1"/>
  <c r="C133" i="7" l="1"/>
  <c r="C136" i="7"/>
  <c r="C137" i="7"/>
  <c r="C135" i="7"/>
  <c r="C134" i="7"/>
  <c r="C137" i="6"/>
  <c r="C138" i="6" s="1"/>
  <c r="C153" i="6" s="1"/>
  <c r="C154" i="6" s="1"/>
  <c r="C136" i="4"/>
  <c r="C133" i="4"/>
  <c r="C134" i="4"/>
  <c r="C132" i="4"/>
  <c r="C135" i="4"/>
  <c r="C128" i="1"/>
  <c r="C138" i="7" l="1"/>
  <c r="C139" i="7" s="1"/>
  <c r="C154" i="7" s="1"/>
  <c r="C155" i="7" s="1"/>
  <c r="C137" i="4"/>
  <c r="C138" i="4" s="1"/>
  <c r="C153" i="4" s="1"/>
  <c r="C154" i="4" s="1"/>
  <c r="C129" i="1"/>
  <c r="C130" i="1" s="1"/>
  <c r="C132" i="1" l="1"/>
  <c r="C131" i="1"/>
  <c r="C133" i="1"/>
  <c r="C134" i="1"/>
  <c r="C135" i="1"/>
  <c r="C136" i="1" l="1"/>
  <c r="C137" i="1" s="1"/>
  <c r="C152" i="1" l="1"/>
  <c r="C153" i="1" s="1"/>
</calcChain>
</file>

<file path=xl/sharedStrings.xml><?xml version="1.0" encoding="utf-8"?>
<sst xmlns="http://schemas.openxmlformats.org/spreadsheetml/2006/main" count="876" uniqueCount="140">
  <si>
    <t>Tipo de serviço</t>
  </si>
  <si>
    <t>Salário normativo da categoria profissional</t>
  </si>
  <si>
    <t>Categoria profissional</t>
  </si>
  <si>
    <t>Data base da categoria</t>
  </si>
  <si>
    <t>Sindicato</t>
  </si>
  <si>
    <t>SEEAC</t>
  </si>
  <si>
    <t>RS000092/2019</t>
  </si>
  <si>
    <t>I</t>
  </si>
  <si>
    <t>Composição da Remuneração</t>
  </si>
  <si>
    <t>Valor (R$)</t>
  </si>
  <si>
    <t>A</t>
  </si>
  <si>
    <t>B</t>
  </si>
  <si>
    <t>C</t>
  </si>
  <si>
    <t>D</t>
  </si>
  <si>
    <t>E</t>
  </si>
  <si>
    <t>F</t>
  </si>
  <si>
    <t>G</t>
  </si>
  <si>
    <t>H</t>
  </si>
  <si>
    <t>Salário Base</t>
  </si>
  <si>
    <t>Adicional de periculosidade</t>
  </si>
  <si>
    <t>Adicional de insalubridade</t>
  </si>
  <si>
    <t>Adicional noturno</t>
  </si>
  <si>
    <t>Hora noturna adicional</t>
  </si>
  <si>
    <t>Adicional de hora extra</t>
  </si>
  <si>
    <t>Intervalo intrajornada</t>
  </si>
  <si>
    <t>%</t>
  </si>
  <si>
    <t>TOTAL</t>
  </si>
  <si>
    <t>TOTAL (R$)</t>
  </si>
  <si>
    <t>II</t>
  </si>
  <si>
    <t>Benefícios Mensais e Diários</t>
  </si>
  <si>
    <t>Transporte</t>
  </si>
  <si>
    <t>Auxílio alimentação (vales, cesta básica etc.)</t>
  </si>
  <si>
    <t>Auxílio creche</t>
  </si>
  <si>
    <t>Assistência médica e familiar</t>
  </si>
  <si>
    <t>Seguro de vida, invalidez e funeral</t>
  </si>
  <si>
    <t xml:space="preserve">Dias </t>
  </si>
  <si>
    <t>Valor Unitário</t>
  </si>
  <si>
    <t>Plano de Beneficio Social Familiar</t>
  </si>
  <si>
    <t>III</t>
  </si>
  <si>
    <t>Insumos diversos</t>
  </si>
  <si>
    <t>Materiais</t>
  </si>
  <si>
    <t>Equipamentos</t>
  </si>
  <si>
    <t>Uniformes¹</t>
  </si>
  <si>
    <t>EPI's¹</t>
  </si>
  <si>
    <t>Encargos previdenciários e FGTS</t>
  </si>
  <si>
    <t>IV</t>
  </si>
  <si>
    <t>INSS</t>
  </si>
  <si>
    <t>FGTS</t>
  </si>
  <si>
    <t>SESI OU SESC¹</t>
  </si>
  <si>
    <t>¹ Decreto Lei n° 9.853/1946 (Art. 3°) e Lei n° 8.036/1990 (Art. 30)</t>
  </si>
  <si>
    <t>SENAI OU SENAC²</t>
  </si>
  <si>
    <t xml:space="preserve">² Decreto Lei n° 2.318/1986 </t>
  </si>
  <si>
    <t>INCRA³</t>
  </si>
  <si>
    <t>³ Decreto Lei n° 1.146/1970 (Art. 2°)</t>
  </si>
  <si>
    <r>
      <t>Salário Educação</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</si>
  <si>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 xml:space="preserve"> Decreto Lei n° 87.043/1982 (Art. 3° inc. I), Lei n° 9.424/1996 (Art. 15), Decreto 3.142/1999 (Art. 2°) e Consituição Federal de 1988 (Art. 212 § 5°)</t>
    </r>
  </si>
  <si>
    <r>
      <t>SEBRAE</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</si>
  <si>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Lei n° 8.029/1190 (Art. 8°)</t>
    </r>
  </si>
  <si>
    <r>
      <t>Seguro acidente do trabalho</t>
    </r>
    <r>
      <rPr>
        <vertAlign val="superscript"/>
        <sz val="11"/>
        <color theme="1"/>
        <rFont val="Calibri"/>
        <family val="2"/>
        <scheme val="minor"/>
      </rPr>
      <t>5</t>
    </r>
  </si>
  <si>
    <t>V</t>
  </si>
  <si>
    <t>13º Salário e Adicional de Férias</t>
  </si>
  <si>
    <t>Subtotal</t>
  </si>
  <si>
    <t>13º Salário</t>
  </si>
  <si>
    <t>Adicional de Férias¹</t>
  </si>
  <si>
    <t>¹ A Constituição Federal, em seu art. 7º, inciso XVII, prevê que as férias sejam pagas com adicional de, pelo menos, 1/3 (um terço) da remuneração do mês. Assim, a provisão para atender as despesas relativas ao abono de férias corresponde a: (1/3)*(5/56) x 100 = 2,98%.</t>
  </si>
  <si>
    <t>Afastamento Maternidade</t>
  </si>
  <si>
    <t>Incidência do ITEM IV sobre afastamento maternidade</t>
  </si>
  <si>
    <t>Afastamento Maternidade¹</t>
  </si>
  <si>
    <t xml:space="preserve">¹ A taxa de natalidade, de acordo com o IBGE, é de 1,44% dos empregados. Considerando que 10% das empregadas engravidam em cada ano de execução contratual e usufruam de 4 (quatro) meses de licença por ano. </t>
  </si>
  <si>
    <t>Provisão para Rescisão</t>
  </si>
  <si>
    <t>Aviso prévio indenizado¹</t>
  </si>
  <si>
    <t xml:space="preserve">¹ CLT (Art. 487, § 1°), de acordo com levantamento efetuado pelo MPOG, cerca de 5% do pessoal é demitido pelo empregador, antes do término do contrato de trabalho. </t>
  </si>
  <si>
    <t>² Considerando que 10% dos empregados pedem contas, essa penalidade recai sobre os 90% remanescentes.</t>
  </si>
  <si>
    <t>Multa do FGTS do aviso prévio indenizado²</t>
  </si>
  <si>
    <t>Incidência do FGTS sobre aviso prévio indenizado</t>
  </si>
  <si>
    <t>Aviso prévio trabalhado³</t>
  </si>
  <si>
    <t>Incidência do ITEM IV sobre 13º Salário e Adicional de Férias</t>
  </si>
  <si>
    <t>Incidência do ITEM IV s/aviso prévio trabalhado</t>
  </si>
  <si>
    <t>Multa FGTS do aviso prévio trabalhado</t>
  </si>
  <si>
    <t>³ CLT (art. 488) refere-se à indenização de sete dias corridos devida ao empregado no caso de o empregador rescindir o contrato sem justo motivo e conceder aviso prévio. Cerca de 2% do pessoal é demitido nessa situação.</t>
  </si>
  <si>
    <t>Férias¹</t>
  </si>
  <si>
    <t>¹ Pode-se determinar a provisão mensal considerando que na duração do contrato de 60 meses o empregado tem 5 meses de férias e labora em 56 meses.</t>
  </si>
  <si>
    <t>² Entendemos que deva ser adotado 5,96 dias, conforme consta do memorial de cálculo encaminhado pelo MP, devendo-se converter esses dias em mês e depois dividi-lo pelo número de meses no ano. (Acórdão 1753/2008 – Plenário TCU)</t>
  </si>
  <si>
    <t>Ausência por doença²</t>
  </si>
  <si>
    <t>³ Conforme a Constituição Federal (Art. 7°, inciso XIX), combinado com o art. 10, § 1º dos Atos das Disposições Constitucionais Transitórias – ADCT - , concede ao empregado o direito de ausentar-se do serviço por cinco dias quando do nascimento de filho. De acordo com o IBGE, nascem filhos de 1,5% dos trabalhadores no período de um ano.</t>
  </si>
  <si>
    <t>Licença paternidade³</t>
  </si>
  <si>
    <r>
      <rPr>
        <vertAlign val="superscript"/>
        <sz val="11"/>
        <color indexed="8"/>
        <rFont val="Calibri"/>
        <family val="2"/>
      </rPr>
      <t>4</t>
    </r>
    <r>
      <rPr>
        <sz val="11"/>
        <color indexed="8"/>
        <rFont val="Calibri"/>
        <family val="2"/>
      </rPr>
      <t xml:space="preserve"> Estimativa de 1 (uma) ausência por ano. </t>
    </r>
  </si>
  <si>
    <r>
      <t>Ausências legais</t>
    </r>
    <r>
      <rPr>
        <vertAlign val="superscript"/>
        <sz val="11"/>
        <color theme="1"/>
        <rFont val="Calibri"/>
        <family val="2"/>
        <scheme val="minor"/>
      </rPr>
      <t>4</t>
    </r>
  </si>
  <si>
    <r>
      <rPr>
        <vertAlign val="superscript"/>
        <sz val="11"/>
        <color theme="1"/>
        <rFont val="Calibri"/>
        <family val="2"/>
        <scheme val="minor"/>
      </rPr>
      <t>5</t>
    </r>
    <r>
      <rPr>
        <sz val="11"/>
        <color theme="1"/>
        <rFont val="Calibri"/>
        <family val="2"/>
        <scheme val="minor"/>
      </rPr>
      <t xml:space="preserve"> Decreto nº 89.312/1984 (Art. 27),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t>
    </r>
  </si>
  <si>
    <r>
      <t>Ausência por acidente de trabalho</t>
    </r>
    <r>
      <rPr>
        <vertAlign val="superscript"/>
        <sz val="11"/>
        <color theme="1"/>
        <rFont val="Calibri"/>
        <family val="2"/>
        <scheme val="minor"/>
      </rPr>
      <t>5</t>
    </r>
  </si>
  <si>
    <r>
      <t>Outros (especificar)</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</si>
  <si>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 xml:space="preserve"> Ausências previstas no CCT Sindical</t>
    </r>
  </si>
  <si>
    <t>Custo de Reposição do Profissional Ausente</t>
  </si>
  <si>
    <t>GRUPO B</t>
  </si>
  <si>
    <r>
      <rPr>
        <vertAlign val="superscript"/>
        <sz val="11"/>
        <color theme="1"/>
        <rFont val="Calibri"/>
        <family val="2"/>
        <scheme val="minor"/>
      </rPr>
      <t>5</t>
    </r>
    <r>
      <rPr>
        <sz val="11"/>
        <color theme="1"/>
        <rFont val="Calibri"/>
        <family val="2"/>
        <scheme val="minor"/>
      </rPr>
      <t xml:space="preserve"> Estimativa de 1 (uma) licença de 15 (quinze) dias por ano para 8% (oito por cento) dos empregados.</t>
    </r>
  </si>
  <si>
    <t>Custos Indiretos, Tributos e Lucro</t>
  </si>
  <si>
    <t>Lucro</t>
  </si>
  <si>
    <t>Custos Indiretos¹</t>
  </si>
  <si>
    <t>¹ São os gastos da contratada com sua estrutura administrativa, organizacional e gerenciamento de seus contratos</t>
  </si>
  <si>
    <t xml:space="preserve">GRUPO A </t>
  </si>
  <si>
    <t xml:space="preserve">GRUPO C </t>
  </si>
  <si>
    <t>GRUPO D</t>
  </si>
  <si>
    <t xml:space="preserve">GRUPO D - Encargos Sociais e Trabalhistas </t>
  </si>
  <si>
    <t>GRUPO E</t>
  </si>
  <si>
    <t>ISSQN ou ISS</t>
  </si>
  <si>
    <t>COFINS</t>
  </si>
  <si>
    <t>PIS</t>
  </si>
  <si>
    <t>² Ganho decorrente da exploração da atividade econômica, calculado mediante incidência percentual sobre a remuneração, benefícios mensais e diários, insumos diversos, encargos sociais e trabalhistas e custos indiretos. No cálculo dos valores limites dos serviços de vigilância e limpeza foi estabelecido o percentual de 6,79%, conforme jurisprudências do TCU.</t>
  </si>
  <si>
    <t>CSLL</t>
  </si>
  <si>
    <t>IRRF</t>
  </si>
  <si>
    <t xml:space="preserve">Subtotal Tributos </t>
  </si>
  <si>
    <t>CUSTO MENSAL DA MÃO-DE-OBRA PARA EXECUÇÃO CONTRATUAL</t>
  </si>
  <si>
    <t>GRUPO A - Composição da Remuneração</t>
  </si>
  <si>
    <t>GRUPO B - Benefícios Mensais e Diários</t>
  </si>
  <si>
    <t>GRUPO C - Insumos Diversos</t>
  </si>
  <si>
    <t>GRUPO D - Encargos Sociais e Trabalhistas</t>
  </si>
  <si>
    <t xml:space="preserve">Desconto </t>
  </si>
  <si>
    <t>Subtotal (A+B+C+D)</t>
  </si>
  <si>
    <t>GRUPO E - Custos Indiretos, Tributos e Lucro</t>
  </si>
  <si>
    <t>VALOR TOTAL POR POSTO</t>
  </si>
  <si>
    <t>N° Registro M.T.E.</t>
  </si>
  <si>
    <t>¹ O custo total calculado é de R$ 248,00. Considerando a substituição conforme Termo de Referência, obtivemos o valor deluído mensalmente.</t>
  </si>
  <si>
    <t>Portaria</t>
  </si>
  <si>
    <t>Porteiro Matutino</t>
  </si>
  <si>
    <t>Horas Reduzidas</t>
  </si>
  <si>
    <t>Valor-Hora</t>
  </si>
  <si>
    <t>Porteiro Vespertino</t>
  </si>
  <si>
    <t>Horas Trabalhadas</t>
  </si>
  <si>
    <t>R$ Hora Reduzida</t>
  </si>
  <si>
    <t>Coef. Redução Horas</t>
  </si>
  <si>
    <t>Horas Reduzidas Mês</t>
  </si>
  <si>
    <t>R$ Hora Noturna</t>
  </si>
  <si>
    <t>Horas Mês</t>
  </si>
  <si>
    <t>Horas Trabalhadas Dia</t>
  </si>
  <si>
    <t>Dias mês</t>
  </si>
  <si>
    <t>Descanso Semanal Remunerado sobre D e E</t>
  </si>
  <si>
    <t>Salário Base (220 horas)</t>
  </si>
  <si>
    <t>Salário com Redução de Carga Horária (120 horas)</t>
  </si>
  <si>
    <t>Vespertino</t>
  </si>
  <si>
    <t>Noturno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</si>
</sst>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sz val="14"/>
      <color rgb="FF555555"/>
      <name val="Times New Roman"/>
      <family val="1"/>
    </font>
    <font>
      <sz val="9"/>
      <color theme="1"/>
      <name val="Calibri"/>
      <family val="2"/>
      <scheme val="minor"/>
    </font>
    <font>
      <vertAlign val="superscript"/>
      <sz val="11"/>
      <color indexed="8"/>
      <name val="Calibri"/>
      <family val="2"/>
    </font>
    <font>
      <sz val="11"/>
      <color indexed="8"/>
      <name val="Calibri"/>
      <family val="2"/>
    </font>
    <font>
      <sz val="11"/>
      <color theme="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0" fillId="0" borderId="2" xfId="0" applyBorder="1"/>
    <xf numFmtId="44" fontId="0" fillId="0" borderId="2" xfId="1" applyFont="1" applyBorder="1"/>
    <xf numFmtId="0" fontId="0" fillId="0" borderId="2" xfId="0" applyFill="1" applyBorder="1"/>
    <xf numFmtId="14" fontId="0" fillId="0" borderId="2" xfId="0" applyNumberFormat="1" applyBorder="1" applyAlignment="1">
      <alignment horizontal="left"/>
    </xf>
    <xf numFmtId="0" fontId="0" fillId="0" borderId="2" xfId="0" applyBorder="1" applyAlignment="1">
      <alignment horizontal="center"/>
    </xf>
    <xf numFmtId="0" fontId="3" fillId="0" borderId="2" xfId="0" applyFont="1" applyBorder="1" applyAlignment="1">
      <alignment horizontal="center"/>
    </xf>
    <xf numFmtId="44" fontId="0" fillId="0" borderId="0" xfId="0" applyNumberFormat="1"/>
    <xf numFmtId="44" fontId="0" fillId="0" borderId="2" xfId="0" applyNumberFormat="1" applyBorder="1"/>
    <xf numFmtId="0" fontId="3" fillId="2" borderId="2" xfId="0" applyFont="1" applyFill="1" applyBorder="1" applyAlignment="1">
      <alignment horizontal="center"/>
    </xf>
    <xf numFmtId="0" fontId="3" fillId="3" borderId="2" xfId="0" applyFont="1" applyFill="1" applyBorder="1" applyAlignment="1">
      <alignment horizontal="center"/>
    </xf>
    <xf numFmtId="44" fontId="3" fillId="2" borderId="2" xfId="0" applyNumberFormat="1" applyFont="1" applyFill="1" applyBorder="1"/>
    <xf numFmtId="0" fontId="3" fillId="0" borderId="0" xfId="0" applyFont="1"/>
    <xf numFmtId="44" fontId="3" fillId="3" borderId="2" xfId="0" applyNumberFormat="1" applyFont="1" applyFill="1" applyBorder="1"/>
    <xf numFmtId="0" fontId="3" fillId="4" borderId="2" xfId="0" applyFont="1" applyFill="1" applyBorder="1" applyAlignment="1">
      <alignment horizontal="center"/>
    </xf>
    <xf numFmtId="0" fontId="3" fillId="4" borderId="2" xfId="0" applyFont="1" applyFill="1" applyBorder="1" applyAlignment="1">
      <alignment horizontal="center"/>
    </xf>
    <xf numFmtId="9" fontId="0" fillId="0" borderId="2" xfId="0" applyNumberFormat="1" applyBorder="1"/>
    <xf numFmtId="10" fontId="0" fillId="0" borderId="2" xfId="0" applyNumberFormat="1" applyBorder="1" applyAlignment="1">
      <alignment horizontal="center"/>
    </xf>
    <xf numFmtId="0" fontId="0" fillId="0" borderId="0" xfId="0" applyAlignment="1">
      <alignment wrapText="1"/>
    </xf>
    <xf numFmtId="0" fontId="3" fillId="0" borderId="2" xfId="0" applyFont="1" applyBorder="1" applyAlignment="1">
      <alignment horizontal="center"/>
    </xf>
    <xf numFmtId="0" fontId="0" fillId="0" borderId="2" xfId="0" applyBorder="1" applyAlignment="1">
      <alignment wrapText="1"/>
    </xf>
    <xf numFmtId="0" fontId="3" fillId="5" borderId="2" xfId="0" applyFont="1" applyFill="1" applyBorder="1" applyAlignment="1">
      <alignment horizontal="center"/>
    </xf>
    <xf numFmtId="0" fontId="3" fillId="5" borderId="2" xfId="0" applyFont="1" applyFill="1" applyBorder="1" applyAlignment="1">
      <alignment horizontal="center"/>
    </xf>
    <xf numFmtId="44" fontId="3" fillId="5" borderId="2" xfId="0" applyNumberFormat="1" applyFont="1" applyFill="1" applyBorder="1"/>
    <xf numFmtId="44" fontId="3" fillId="0" borderId="2" xfId="0" applyNumberFormat="1" applyFont="1" applyBorder="1"/>
    <xf numFmtId="0" fontId="0" fillId="0" borderId="2" xfId="0" applyBorder="1" applyAlignment="1">
      <alignment horizontal="center" vertical="center"/>
    </xf>
    <xf numFmtId="0" fontId="3" fillId="6" borderId="2" xfId="0" applyFont="1" applyFill="1" applyBorder="1" applyAlignment="1">
      <alignment horizontal="center"/>
    </xf>
    <xf numFmtId="0" fontId="3" fillId="6" borderId="2" xfId="0" applyFont="1" applyFill="1" applyBorder="1" applyAlignment="1">
      <alignment horizontal="center"/>
    </xf>
    <xf numFmtId="0" fontId="5" fillId="0" borderId="0" xfId="0" applyFont="1"/>
    <xf numFmtId="10" fontId="0" fillId="0" borderId="2" xfId="2" applyNumberFormat="1" applyFont="1" applyBorder="1" applyAlignment="1">
      <alignment horizontal="center"/>
    </xf>
    <xf numFmtId="0" fontId="0" fillId="0" borderId="0" xfId="0" applyFill="1" applyBorder="1" applyAlignment="1">
      <alignment wrapText="1"/>
    </xf>
    <xf numFmtId="0" fontId="6" fillId="0" borderId="0" xfId="0" applyFont="1" applyFill="1" applyBorder="1" applyAlignment="1"/>
    <xf numFmtId="0" fontId="0" fillId="0" borderId="0" xfId="0" applyFont="1" applyAlignment="1">
      <alignment wrapText="1"/>
    </xf>
    <xf numFmtId="0" fontId="0" fillId="0" borderId="0" xfId="0" applyFill="1" applyBorder="1" applyAlignment="1">
      <alignment horizontal="left"/>
    </xf>
    <xf numFmtId="44" fontId="3" fillId="5" borderId="6" xfId="0" applyNumberFormat="1" applyFont="1" applyFill="1" applyBorder="1"/>
    <xf numFmtId="44" fontId="3" fillId="5" borderId="3" xfId="0" applyNumberFormat="1" applyFont="1" applyFill="1" applyBorder="1"/>
    <xf numFmtId="10" fontId="3" fillId="5" borderId="2" xfId="0" applyNumberFormat="1" applyFont="1" applyFill="1" applyBorder="1" applyAlignment="1">
      <alignment horizontal="center"/>
    </xf>
    <xf numFmtId="44" fontId="3" fillId="6" borderId="6" xfId="0" applyNumberFormat="1" applyFont="1" applyFill="1" applyBorder="1"/>
    <xf numFmtId="0" fontId="9" fillId="8" borderId="2" xfId="0" applyFont="1" applyFill="1" applyBorder="1" applyAlignment="1">
      <alignment wrapText="1"/>
    </xf>
    <xf numFmtId="44" fontId="3" fillId="0" borderId="2" xfId="1" applyFont="1" applyBorder="1"/>
    <xf numFmtId="10" fontId="2" fillId="0" borderId="2" xfId="2" applyNumberFormat="1" applyFont="1" applyBorder="1" applyAlignment="1">
      <alignment horizontal="center"/>
    </xf>
    <xf numFmtId="10" fontId="2" fillId="0" borderId="2" xfId="0" applyNumberFormat="1" applyFont="1" applyBorder="1" applyAlignment="1">
      <alignment horizontal="center"/>
    </xf>
    <xf numFmtId="44" fontId="3" fillId="0" borderId="0" xfId="1" applyFont="1" applyFill="1" applyBorder="1" applyAlignment="1">
      <alignment horizontal="center"/>
    </xf>
    <xf numFmtId="44" fontId="3" fillId="7" borderId="2" xfId="1" applyFont="1" applyFill="1" applyBorder="1" applyAlignment="1">
      <alignment horizontal="center"/>
    </xf>
    <xf numFmtId="44" fontId="9" fillId="8" borderId="2" xfId="0" applyNumberFormat="1" applyFont="1" applyFill="1" applyBorder="1" applyAlignment="1">
      <alignment wrapText="1"/>
    </xf>
    <xf numFmtId="10" fontId="3" fillId="0" borderId="2" xfId="0" applyNumberFormat="1" applyFont="1" applyBorder="1" applyAlignment="1">
      <alignment horizontal="center"/>
    </xf>
    <xf numFmtId="10" fontId="3" fillId="6" borderId="2" xfId="2" applyNumberFormat="1" applyFont="1" applyFill="1" applyBorder="1" applyAlignment="1">
      <alignment horizontal="center"/>
    </xf>
    <xf numFmtId="44" fontId="0" fillId="0" borderId="2" xfId="1" applyFont="1" applyFill="1" applyBorder="1" applyAlignment="1">
      <alignment horizontal="left"/>
    </xf>
    <xf numFmtId="44" fontId="3" fillId="0" borderId="2" xfId="1" applyFont="1" applyFill="1" applyBorder="1" applyAlignment="1">
      <alignment horizontal="center"/>
    </xf>
    <xf numFmtId="44" fontId="3" fillId="7" borderId="2" xfId="0" applyNumberFormat="1" applyFont="1" applyFill="1" applyBorder="1" applyAlignment="1">
      <alignment horizontal="center"/>
    </xf>
    <xf numFmtId="44" fontId="3" fillId="4" borderId="2" xfId="1" applyFont="1" applyFill="1" applyBorder="1"/>
    <xf numFmtId="21" fontId="0" fillId="0" borderId="0" xfId="0" applyNumberFormat="1"/>
    <xf numFmtId="2" fontId="0" fillId="0" borderId="2" xfId="2" applyNumberFormat="1" applyFont="1" applyBorder="1" applyAlignment="1">
      <alignment horizontal="center"/>
    </xf>
    <xf numFmtId="0" fontId="0" fillId="0" borderId="3" xfId="0" applyFill="1" applyBorder="1" applyAlignment="1">
      <alignment horizontal="center"/>
    </xf>
    <xf numFmtId="9" fontId="0" fillId="0" borderId="2" xfId="2" applyFont="1" applyBorder="1" applyAlignment="1">
      <alignment horizontal="center"/>
    </xf>
    <xf numFmtId="9" fontId="0" fillId="0" borderId="2" xfId="0" applyNumberFormat="1" applyBorder="1" applyAlignment="1">
      <alignment horizontal="center"/>
    </xf>
    <xf numFmtId="2" fontId="0" fillId="0" borderId="0" xfId="2" applyNumberFormat="1" applyFont="1" applyBorder="1" applyAlignment="1">
      <alignment horizontal="center"/>
    </xf>
    <xf numFmtId="0" fontId="0" fillId="0" borderId="0" xfId="0" applyBorder="1" applyAlignment="1">
      <alignment horizontal="center"/>
    </xf>
    <xf numFmtId="0" fontId="0" fillId="0" borderId="2" xfId="0" applyFill="1" applyBorder="1" applyAlignment="1">
      <alignment horizontal="center"/>
    </xf>
    <xf numFmtId="44" fontId="3" fillId="7" borderId="12" xfId="1" applyFont="1" applyFill="1" applyBorder="1" applyAlignment="1">
      <alignment horizontal="center"/>
    </xf>
    <xf numFmtId="44" fontId="3" fillId="7" borderId="13" xfId="1" applyFont="1" applyFill="1" applyBorder="1" applyAlignment="1">
      <alignment horizontal="center"/>
    </xf>
    <xf numFmtId="0" fontId="3" fillId="3" borderId="2"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0" fillId="0" borderId="8" xfId="0" applyFill="1" applyBorder="1" applyAlignment="1">
      <alignment horizontal="left" wrapText="1"/>
    </xf>
    <xf numFmtId="0" fontId="0" fillId="0" borderId="0"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0" borderId="1" xfId="0" applyFill="1" applyBorder="1" applyAlignment="1">
      <alignment horizontal="left" wrapText="1"/>
    </xf>
    <xf numFmtId="0" fontId="0" fillId="0" borderId="11" xfId="0" applyFill="1" applyBorder="1" applyAlignment="1">
      <alignment horizontal="left" wrapText="1"/>
    </xf>
    <xf numFmtId="0" fontId="3" fillId="6" borderId="6" xfId="0" applyFont="1" applyFill="1" applyBorder="1" applyAlignment="1">
      <alignment horizontal="center"/>
    </xf>
    <xf numFmtId="0" fontId="3" fillId="6" borderId="2" xfId="0" applyFont="1" applyFill="1" applyBorder="1" applyAlignment="1">
      <alignment horizontal="center"/>
    </xf>
    <xf numFmtId="0" fontId="0" fillId="0" borderId="7"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9" xfId="0" applyBorder="1" applyAlignment="1">
      <alignment horizontal="left" wrapText="1"/>
    </xf>
    <xf numFmtId="0" fontId="3" fillId="5" borderId="2" xfId="0" applyFont="1" applyFill="1" applyBorder="1" applyAlignment="1">
      <alignment horizontal="center"/>
    </xf>
    <xf numFmtId="0" fontId="0" fillId="0" borderId="10"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left" wrapText="1"/>
    </xf>
    <xf numFmtId="0" fontId="0" fillId="0" borderId="8" xfId="0" applyFill="1" applyBorder="1" applyAlignment="1">
      <alignment horizontal="left"/>
    </xf>
    <xf numFmtId="0" fontId="0" fillId="0" borderId="0" xfId="0" applyFill="1" applyBorder="1" applyAlignment="1">
      <alignment horizontal="left"/>
    </xf>
    <xf numFmtId="0" fontId="0" fillId="0" borderId="9" xfId="0" applyFill="1" applyBorder="1" applyAlignment="1">
      <alignment horizontal="left"/>
    </xf>
    <xf numFmtId="0" fontId="0" fillId="0" borderId="8" xfId="0" applyFill="1" applyBorder="1" applyAlignment="1">
      <alignment horizontal="left" vertical="center" wrapText="1"/>
    </xf>
    <xf numFmtId="0" fontId="0" fillId="0" borderId="0" xfId="0" applyFill="1" applyBorder="1" applyAlignment="1">
      <alignment horizontal="left" vertical="center" wrapText="1"/>
    </xf>
    <xf numFmtId="0" fontId="0" fillId="0" borderId="9" xfId="0" applyFill="1" applyBorder="1" applyAlignment="1">
      <alignment horizontal="left" vertical="center" wrapText="1"/>
    </xf>
    <xf numFmtId="0" fontId="3" fillId="2" borderId="2" xfId="0" applyFont="1" applyFill="1" applyBorder="1" applyAlignment="1">
      <alignment horizontal="center"/>
    </xf>
    <xf numFmtId="44" fontId="3" fillId="4" borderId="2" xfId="1" applyFont="1" applyFill="1" applyBorder="1" applyAlignment="1">
      <alignment horizontal="center"/>
    </xf>
    <xf numFmtId="0" fontId="3" fillId="0" borderId="2" xfId="0" applyFont="1" applyBorder="1" applyAlignment="1">
      <alignment horizontal="center"/>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7"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10" xfId="0" applyFill="1" applyBorder="1" applyAlignment="1">
      <alignment horizontal="left"/>
    </xf>
    <xf numFmtId="0" fontId="0" fillId="0" borderId="1" xfId="0" applyFill="1" applyBorder="1" applyAlignment="1">
      <alignment horizontal="left"/>
    </xf>
    <xf numFmtId="0" fontId="0" fillId="0" borderId="11" xfId="0" applyFill="1"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3" fillId="4" borderId="2" xfId="0" applyFont="1" applyFill="1" applyBorder="1" applyAlignment="1">
      <alignment horizontal="center"/>
    </xf>
    <xf numFmtId="0" fontId="0" fillId="0" borderId="2" xfId="0" applyFill="1" applyBorder="1" applyAlignment="1">
      <alignment horizontal="left" vertical="center" wrapText="1"/>
    </xf>
    <xf numFmtId="0" fontId="3" fillId="5" borderId="3" xfId="0" applyFont="1" applyFill="1" applyBorder="1" applyAlignment="1">
      <alignment horizontal="center"/>
    </xf>
    <xf numFmtId="0" fontId="0" fillId="0" borderId="7"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3" fillId="2" borderId="2" xfId="0" applyFont="1" applyFill="1" applyBorder="1" applyAlignment="1">
      <alignment horizontal="center" vertical="center"/>
    </xf>
  </cellXfs>
  <cellStyles count="3">
    <cellStyle name="Moeda" xfId="1" builtinId="4"/>
    <cellStyle name="Normal" xfId="0" builtinId="0"/>
    <cellStyle name="Porcentagem"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3"/>
  <sheetViews>
    <sheetView tabSelected="1" topLeftCell="A130" zoomScale="90" zoomScaleNormal="90" workbookViewId="0">
      <selection activeCell="I150" sqref="I150"/>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1.140625" bestFit="1" customWidth="1"/>
    <col min="8" max="8" width="11.140625" hidden="1" customWidth="1"/>
  </cols>
  <sheetData>
    <row r="2" spans="1:4" x14ac:dyDescent="0.25">
      <c r="B2" s="1" t="s">
        <v>0</v>
      </c>
      <c r="C2" s="5" t="s">
        <v>123</v>
      </c>
    </row>
    <row r="3" spans="1:4" x14ac:dyDescent="0.25">
      <c r="B3" s="1" t="s">
        <v>1</v>
      </c>
      <c r="C3" s="2">
        <v>1305.17</v>
      </c>
    </row>
    <row r="4" spans="1:4" x14ac:dyDescent="0.25">
      <c r="B4" s="1" t="s">
        <v>2</v>
      </c>
      <c r="C4" s="5" t="s">
        <v>122</v>
      </c>
    </row>
    <row r="5" spans="1:4" x14ac:dyDescent="0.25">
      <c r="B5" s="3" t="s">
        <v>4</v>
      </c>
      <c r="C5" s="5" t="s">
        <v>5</v>
      </c>
    </row>
    <row r="6" spans="1:4" x14ac:dyDescent="0.25">
      <c r="B6" s="3" t="s">
        <v>120</v>
      </c>
      <c r="C6" s="1" t="s">
        <v>6</v>
      </c>
    </row>
    <row r="7" spans="1:4" x14ac:dyDescent="0.25">
      <c r="B7" s="1" t="s">
        <v>3</v>
      </c>
      <c r="C7" s="4">
        <v>43466</v>
      </c>
    </row>
    <row r="9" spans="1:4" x14ac:dyDescent="0.25">
      <c r="A9" s="89" t="s">
        <v>99</v>
      </c>
      <c r="B9" s="89"/>
      <c r="C9" s="89"/>
      <c r="D9" s="89"/>
    </row>
    <row r="10" spans="1:4" x14ac:dyDescent="0.25">
      <c r="A10" s="9" t="s">
        <v>7</v>
      </c>
      <c r="B10" s="9" t="s">
        <v>8</v>
      </c>
      <c r="C10" s="9" t="s">
        <v>9</v>
      </c>
      <c r="D10" s="9" t="s">
        <v>25</v>
      </c>
    </row>
    <row r="11" spans="1:4" x14ac:dyDescent="0.25">
      <c r="A11" s="5" t="s">
        <v>10</v>
      </c>
      <c r="B11" s="1" t="s">
        <v>18</v>
      </c>
      <c r="C11" s="2">
        <f>$C$3</f>
        <v>1305.17</v>
      </c>
      <c r="D11" s="1"/>
    </row>
    <row r="12" spans="1:4" x14ac:dyDescent="0.25">
      <c r="A12" s="5" t="s">
        <v>11</v>
      </c>
      <c r="B12" s="1" t="s">
        <v>19</v>
      </c>
      <c r="C12" s="2">
        <v>0</v>
      </c>
      <c r="D12" s="1"/>
    </row>
    <row r="13" spans="1:4" x14ac:dyDescent="0.25">
      <c r="A13" s="5" t="s">
        <v>12</v>
      </c>
      <c r="B13" s="1" t="s">
        <v>20</v>
      </c>
      <c r="C13" s="2">
        <f>$C$11*$D$13</f>
        <v>0</v>
      </c>
      <c r="D13" s="16">
        <v>0</v>
      </c>
    </row>
    <row r="14" spans="1:4" x14ac:dyDescent="0.25">
      <c r="A14" s="5" t="s">
        <v>13</v>
      </c>
      <c r="B14" s="1" t="s">
        <v>21</v>
      </c>
      <c r="C14" s="2">
        <v>0</v>
      </c>
      <c r="D14" s="1"/>
    </row>
    <row r="15" spans="1:4" x14ac:dyDescent="0.25">
      <c r="A15" s="5" t="s">
        <v>14</v>
      </c>
      <c r="B15" s="1" t="s">
        <v>22</v>
      </c>
      <c r="C15" s="2">
        <v>0</v>
      </c>
      <c r="D15" s="1"/>
    </row>
    <row r="16" spans="1:4" x14ac:dyDescent="0.25">
      <c r="A16" s="5" t="s">
        <v>15</v>
      </c>
      <c r="B16" s="1" t="s">
        <v>23</v>
      </c>
      <c r="C16" s="2">
        <v>0</v>
      </c>
      <c r="D16" s="1"/>
    </row>
    <row r="17" spans="1:8" x14ac:dyDescent="0.25">
      <c r="A17" s="5" t="s">
        <v>16</v>
      </c>
      <c r="B17" s="1" t="s">
        <v>24</v>
      </c>
      <c r="C17" s="2">
        <v>0</v>
      </c>
      <c r="D17" s="1"/>
    </row>
    <row r="18" spans="1:8" x14ac:dyDescent="0.25">
      <c r="A18" s="89" t="s">
        <v>27</v>
      </c>
      <c r="B18" s="89"/>
      <c r="C18" s="11">
        <f>SUM(C11:C17)</f>
        <v>1305.17</v>
      </c>
    </row>
    <row r="19" spans="1:8" x14ac:dyDescent="0.25">
      <c r="A19" s="12"/>
      <c r="B19" s="12"/>
      <c r="C19" s="12"/>
    </row>
    <row r="20" spans="1:8" x14ac:dyDescent="0.25">
      <c r="A20" s="61" t="s">
        <v>93</v>
      </c>
      <c r="B20" s="61"/>
      <c r="C20" s="61"/>
      <c r="D20" s="61"/>
      <c r="E20" s="61"/>
      <c r="F20" s="61"/>
    </row>
    <row r="21" spans="1:8" x14ac:dyDescent="0.25">
      <c r="A21" s="10" t="s">
        <v>28</v>
      </c>
      <c r="B21" s="10" t="s">
        <v>29</v>
      </c>
      <c r="C21" s="10" t="s">
        <v>9</v>
      </c>
      <c r="D21" s="10" t="s">
        <v>35</v>
      </c>
      <c r="E21" s="10" t="s">
        <v>36</v>
      </c>
      <c r="F21" s="10" t="s">
        <v>116</v>
      </c>
    </row>
    <row r="22" spans="1:8" x14ac:dyDescent="0.25">
      <c r="A22" s="5" t="s">
        <v>10</v>
      </c>
      <c r="B22" s="1" t="s">
        <v>30</v>
      </c>
      <c r="C22" s="2">
        <f>(D22*E22*2)-F22</f>
        <v>166.08980000000003</v>
      </c>
      <c r="D22" s="5">
        <v>26</v>
      </c>
      <c r="E22" s="2">
        <v>4.7</v>
      </c>
      <c r="F22" s="8">
        <f>6%*C11</f>
        <v>78.310199999999995</v>
      </c>
    </row>
    <row r="23" spans="1:8" x14ac:dyDescent="0.25">
      <c r="A23" s="5" t="s">
        <v>11</v>
      </c>
      <c r="B23" s="1" t="s">
        <v>31</v>
      </c>
      <c r="C23" s="2">
        <f>(D23*E23)-F23</f>
        <v>421.2</v>
      </c>
      <c r="D23" s="5">
        <v>26</v>
      </c>
      <c r="E23" s="2">
        <v>20</v>
      </c>
      <c r="F23" s="8">
        <f>19%*H23</f>
        <v>98.8</v>
      </c>
      <c r="G23" s="7"/>
      <c r="H23" s="7">
        <f>(D23*E23)</f>
        <v>520</v>
      </c>
    </row>
    <row r="24" spans="1:8" x14ac:dyDescent="0.25">
      <c r="A24" s="5" t="s">
        <v>12</v>
      </c>
      <c r="B24" s="1" t="s">
        <v>33</v>
      </c>
      <c r="C24" s="2">
        <v>0</v>
      </c>
      <c r="D24" s="5"/>
      <c r="E24" s="1"/>
      <c r="F24" s="1"/>
    </row>
    <row r="25" spans="1:8" x14ac:dyDescent="0.25">
      <c r="A25" s="5" t="s">
        <v>13</v>
      </c>
      <c r="B25" s="1" t="s">
        <v>32</v>
      </c>
      <c r="C25" s="2">
        <v>0</v>
      </c>
      <c r="D25" s="5"/>
      <c r="E25" s="1"/>
      <c r="F25" s="1"/>
    </row>
    <row r="26" spans="1:8" x14ac:dyDescent="0.25">
      <c r="A26" s="5" t="s">
        <v>14</v>
      </c>
      <c r="B26" s="1" t="s">
        <v>34</v>
      </c>
      <c r="C26" s="2">
        <v>0</v>
      </c>
      <c r="D26" s="5"/>
      <c r="E26" s="1"/>
      <c r="F26" s="1"/>
    </row>
    <row r="27" spans="1:8" x14ac:dyDescent="0.25">
      <c r="A27" s="5" t="s">
        <v>15</v>
      </c>
      <c r="B27" s="1" t="s">
        <v>37</v>
      </c>
      <c r="C27" s="2">
        <v>15.02</v>
      </c>
      <c r="D27" s="5"/>
      <c r="E27" s="1"/>
      <c r="F27" s="1"/>
    </row>
    <row r="28" spans="1:8" x14ac:dyDescent="0.25">
      <c r="A28" s="61" t="s">
        <v>27</v>
      </c>
      <c r="B28" s="61"/>
      <c r="C28" s="13">
        <f>SUM(C22:C27)</f>
        <v>602.3098</v>
      </c>
    </row>
    <row r="30" spans="1:8" x14ac:dyDescent="0.25">
      <c r="A30" s="90" t="s">
        <v>100</v>
      </c>
      <c r="B30" s="90"/>
      <c r="C30" s="90"/>
    </row>
    <row r="31" spans="1:8" x14ac:dyDescent="0.25">
      <c r="A31" s="14" t="s">
        <v>38</v>
      </c>
      <c r="B31" s="14" t="s">
        <v>39</v>
      </c>
      <c r="C31" s="14" t="s">
        <v>9</v>
      </c>
    </row>
    <row r="32" spans="1:8" x14ac:dyDescent="0.25">
      <c r="A32" s="5" t="s">
        <v>10</v>
      </c>
      <c r="B32" s="1" t="s">
        <v>42</v>
      </c>
      <c r="C32" s="2">
        <f>248/12</f>
        <v>20.666666666666668</v>
      </c>
    </row>
    <row r="33" spans="1:4" x14ac:dyDescent="0.25">
      <c r="A33" s="5" t="s">
        <v>11</v>
      </c>
      <c r="B33" s="1" t="s">
        <v>40</v>
      </c>
      <c r="C33" s="2">
        <v>0</v>
      </c>
    </row>
    <row r="34" spans="1:4" x14ac:dyDescent="0.25">
      <c r="A34" s="5" t="s">
        <v>12</v>
      </c>
      <c r="B34" s="1" t="s">
        <v>41</v>
      </c>
      <c r="C34" s="2">
        <v>0</v>
      </c>
    </row>
    <row r="35" spans="1:4" x14ac:dyDescent="0.25">
      <c r="A35" s="5" t="s">
        <v>13</v>
      </c>
      <c r="B35" s="1" t="s">
        <v>43</v>
      </c>
      <c r="C35" s="2">
        <v>0</v>
      </c>
    </row>
    <row r="36" spans="1:4" x14ac:dyDescent="0.25">
      <c r="A36" s="107" t="s">
        <v>27</v>
      </c>
      <c r="B36" s="107"/>
      <c r="C36" s="50">
        <f>SUM(C32:C35)</f>
        <v>20.666666666666668</v>
      </c>
    </row>
    <row r="37" spans="1:4" ht="30" customHeight="1" x14ac:dyDescent="0.25">
      <c r="A37" s="108" t="s">
        <v>121</v>
      </c>
      <c r="B37" s="108"/>
      <c r="C37" s="108"/>
    </row>
    <row r="39" spans="1:4" x14ac:dyDescent="0.25">
      <c r="A39" s="78" t="s">
        <v>101</v>
      </c>
      <c r="B39" s="78"/>
      <c r="C39" s="78"/>
      <c r="D39" s="78"/>
    </row>
    <row r="40" spans="1:4" x14ac:dyDescent="0.25">
      <c r="A40" s="21" t="s">
        <v>7</v>
      </c>
      <c r="B40" s="21" t="s">
        <v>44</v>
      </c>
      <c r="C40" s="21" t="s">
        <v>9</v>
      </c>
      <c r="D40" s="21" t="s">
        <v>25</v>
      </c>
    </row>
    <row r="41" spans="1:4" x14ac:dyDescent="0.25">
      <c r="A41" s="5" t="s">
        <v>10</v>
      </c>
      <c r="B41" s="1" t="s">
        <v>46</v>
      </c>
      <c r="C41" s="8">
        <f>$C$18*D41</f>
        <v>104.4136</v>
      </c>
      <c r="D41" s="17">
        <v>0.08</v>
      </c>
    </row>
    <row r="42" spans="1:4" x14ac:dyDescent="0.25">
      <c r="A42" s="5" t="s">
        <v>11</v>
      </c>
      <c r="B42" s="1" t="s">
        <v>48</v>
      </c>
      <c r="C42" s="8">
        <f t="shared" ref="C42:C48" si="0">$C$18*D42</f>
        <v>19.577549999999999</v>
      </c>
      <c r="D42" s="17">
        <v>1.4999999999999999E-2</v>
      </c>
    </row>
    <row r="43" spans="1:4" x14ac:dyDescent="0.25">
      <c r="A43" s="5" t="s">
        <v>12</v>
      </c>
      <c r="B43" s="1" t="s">
        <v>50</v>
      </c>
      <c r="C43" s="8">
        <f t="shared" si="0"/>
        <v>13.0517</v>
      </c>
      <c r="D43" s="17">
        <v>0.01</v>
      </c>
    </row>
    <row r="44" spans="1:4" x14ac:dyDescent="0.25">
      <c r="A44" s="5" t="s">
        <v>13</v>
      </c>
      <c r="B44" s="1" t="s">
        <v>52</v>
      </c>
      <c r="C44" s="8">
        <f t="shared" si="0"/>
        <v>2.6103400000000003</v>
      </c>
      <c r="D44" s="17">
        <v>2E-3</v>
      </c>
    </row>
    <row r="45" spans="1:4" ht="17.25" x14ac:dyDescent="0.25">
      <c r="A45" s="5" t="s">
        <v>14</v>
      </c>
      <c r="B45" s="1" t="s">
        <v>54</v>
      </c>
      <c r="C45" s="8">
        <f t="shared" si="0"/>
        <v>32.629250000000006</v>
      </c>
      <c r="D45" s="17">
        <v>2.5000000000000001E-2</v>
      </c>
    </row>
    <row r="46" spans="1:4" x14ac:dyDescent="0.25">
      <c r="A46" s="5" t="s">
        <v>15</v>
      </c>
      <c r="B46" s="1" t="s">
        <v>47</v>
      </c>
      <c r="C46" s="8">
        <f t="shared" si="0"/>
        <v>104.4136</v>
      </c>
      <c r="D46" s="17">
        <v>0.08</v>
      </c>
    </row>
    <row r="47" spans="1:4" ht="17.25" x14ac:dyDescent="0.25">
      <c r="A47" s="5" t="s">
        <v>16</v>
      </c>
      <c r="B47" s="1" t="s">
        <v>58</v>
      </c>
      <c r="C47" s="8">
        <f t="shared" si="0"/>
        <v>4.3505666666666665</v>
      </c>
      <c r="D47" s="17">
        <f>((15/30)/12)*0.08</f>
        <v>3.3333333333333331E-3</v>
      </c>
    </row>
    <row r="48" spans="1:4" ht="17.25" x14ac:dyDescent="0.25">
      <c r="A48" s="5" t="s">
        <v>17</v>
      </c>
      <c r="B48" s="1" t="s">
        <v>56</v>
      </c>
      <c r="C48" s="8">
        <f t="shared" si="0"/>
        <v>7.8310200000000005</v>
      </c>
      <c r="D48" s="17">
        <v>6.0000000000000001E-3</v>
      </c>
    </row>
    <row r="49" spans="1:4" x14ac:dyDescent="0.25">
      <c r="A49" s="109" t="s">
        <v>27</v>
      </c>
      <c r="B49" s="109"/>
      <c r="C49" s="35">
        <f>SUM(C41:C48)</f>
        <v>288.87762666666674</v>
      </c>
      <c r="D49" s="36">
        <f>SUM(D41:D48)</f>
        <v>0.22133333333333335</v>
      </c>
    </row>
    <row r="50" spans="1:4" x14ac:dyDescent="0.25">
      <c r="A50" s="110" t="s">
        <v>49</v>
      </c>
      <c r="B50" s="111"/>
      <c r="C50" s="112"/>
    </row>
    <row r="51" spans="1:4" x14ac:dyDescent="0.25">
      <c r="A51" s="83" t="s">
        <v>51</v>
      </c>
      <c r="B51" s="84"/>
      <c r="C51" s="85"/>
    </row>
    <row r="52" spans="1:4" x14ac:dyDescent="0.25">
      <c r="A52" s="83" t="s">
        <v>53</v>
      </c>
      <c r="B52" s="84"/>
      <c r="C52" s="85"/>
    </row>
    <row r="53" spans="1:4" ht="30.75" customHeight="1" x14ac:dyDescent="0.25">
      <c r="A53" s="86" t="s">
        <v>55</v>
      </c>
      <c r="B53" s="87"/>
      <c r="C53" s="88"/>
    </row>
    <row r="54" spans="1:4" ht="17.25" x14ac:dyDescent="0.25">
      <c r="A54" s="104" t="s">
        <v>94</v>
      </c>
      <c r="B54" s="105"/>
      <c r="C54" s="106"/>
    </row>
    <row r="55" spans="1:4" ht="17.25" x14ac:dyDescent="0.25">
      <c r="A55" s="101" t="s">
        <v>57</v>
      </c>
      <c r="B55" s="102"/>
      <c r="C55" s="103"/>
    </row>
    <row r="56" spans="1:4" x14ac:dyDescent="0.25">
      <c r="A56" s="33"/>
      <c r="B56" s="33"/>
      <c r="C56" s="33"/>
    </row>
    <row r="57" spans="1:4" x14ac:dyDescent="0.25">
      <c r="A57" s="21" t="s">
        <v>28</v>
      </c>
      <c r="B57" s="21" t="s">
        <v>60</v>
      </c>
      <c r="C57" s="21" t="s">
        <v>9</v>
      </c>
      <c r="D57" s="21" t="s">
        <v>25</v>
      </c>
    </row>
    <row r="58" spans="1:4" x14ac:dyDescent="0.25">
      <c r="A58" s="5" t="s">
        <v>10</v>
      </c>
      <c r="B58" s="1" t="s">
        <v>62</v>
      </c>
      <c r="C58" s="8">
        <f>D58*$C$18</f>
        <v>116.53303571428572</v>
      </c>
      <c r="D58" s="17">
        <f>(5/56)</f>
        <v>8.9285714285714288E-2</v>
      </c>
    </row>
    <row r="59" spans="1:4" x14ac:dyDescent="0.25">
      <c r="A59" s="5" t="s">
        <v>11</v>
      </c>
      <c r="B59" s="1" t="s">
        <v>63</v>
      </c>
      <c r="C59" s="8">
        <f>D59*$C$18</f>
        <v>38.844345238095237</v>
      </c>
      <c r="D59" s="17">
        <f>(1/3)*(5/56)</f>
        <v>2.976190476190476E-2</v>
      </c>
    </row>
    <row r="60" spans="1:4" x14ac:dyDescent="0.25">
      <c r="A60" s="91" t="s">
        <v>61</v>
      </c>
      <c r="B60" s="91"/>
      <c r="C60" s="24">
        <f>SUM(C58:C59)</f>
        <v>155.37738095238095</v>
      </c>
    </row>
    <row r="61" spans="1:4" ht="15.75" customHeight="1" x14ac:dyDescent="0.25">
      <c r="A61" s="25" t="s">
        <v>12</v>
      </c>
      <c r="B61" s="20" t="s">
        <v>76</v>
      </c>
      <c r="C61" s="8">
        <f>$D$49*$C$60</f>
        <v>34.390193650793655</v>
      </c>
    </row>
    <row r="62" spans="1:4" x14ac:dyDescent="0.25">
      <c r="A62" s="78" t="s">
        <v>27</v>
      </c>
      <c r="B62" s="78"/>
      <c r="C62" s="23">
        <f>$C$60+$C$61</f>
        <v>189.76757460317461</v>
      </c>
    </row>
    <row r="63" spans="1:4" ht="15" customHeight="1" x14ac:dyDescent="0.25">
      <c r="A63" s="72" t="s">
        <v>64</v>
      </c>
      <c r="B63" s="73"/>
      <c r="C63" s="74"/>
    </row>
    <row r="64" spans="1:4" x14ac:dyDescent="0.25">
      <c r="A64" s="75"/>
      <c r="B64" s="76"/>
      <c r="C64" s="77"/>
    </row>
    <row r="65" spans="1:5" x14ac:dyDescent="0.25">
      <c r="A65" s="79"/>
      <c r="B65" s="80"/>
      <c r="C65" s="81"/>
    </row>
    <row r="67" spans="1:5" x14ac:dyDescent="0.25">
      <c r="A67" s="21" t="s">
        <v>38</v>
      </c>
      <c r="B67" s="21" t="s">
        <v>65</v>
      </c>
      <c r="C67" s="21" t="s">
        <v>9</v>
      </c>
    </row>
    <row r="68" spans="1:5" x14ac:dyDescent="0.25">
      <c r="A68" s="5" t="s">
        <v>10</v>
      </c>
      <c r="B68" s="1" t="s">
        <v>67</v>
      </c>
      <c r="C68" s="2">
        <f>(0.0144*0.1*(4/12))*$C$18</f>
        <v>0.62648160000000008</v>
      </c>
    </row>
    <row r="69" spans="1:5" x14ac:dyDescent="0.25">
      <c r="A69" s="5" t="s">
        <v>11</v>
      </c>
      <c r="B69" s="20" t="s">
        <v>66</v>
      </c>
      <c r="C69" s="2">
        <f>$C$68*$D$49</f>
        <v>0.13866126080000002</v>
      </c>
    </row>
    <row r="70" spans="1:5" x14ac:dyDescent="0.25">
      <c r="A70" s="78" t="s">
        <v>27</v>
      </c>
      <c r="B70" s="78"/>
      <c r="C70" s="23">
        <f>SUM(C68:C69)</f>
        <v>0.76514286080000016</v>
      </c>
      <c r="E70" s="7"/>
    </row>
    <row r="71" spans="1:5" ht="15" customHeight="1" x14ac:dyDescent="0.25">
      <c r="A71" s="82" t="s">
        <v>68</v>
      </c>
      <c r="B71" s="82"/>
      <c r="C71" s="82"/>
    </row>
    <row r="72" spans="1:5" x14ac:dyDescent="0.25">
      <c r="A72" s="82"/>
      <c r="B72" s="82"/>
      <c r="C72" s="82"/>
    </row>
    <row r="73" spans="1:5" x14ac:dyDescent="0.25">
      <c r="A73" s="82"/>
      <c r="B73" s="82"/>
      <c r="C73" s="82"/>
    </row>
    <row r="74" spans="1:5" ht="18.75" x14ac:dyDescent="0.3">
      <c r="A74" s="28"/>
    </row>
    <row r="75" spans="1:5" x14ac:dyDescent="0.25">
      <c r="A75" s="21" t="s">
        <v>45</v>
      </c>
      <c r="B75" s="21" t="s">
        <v>69</v>
      </c>
      <c r="C75" s="21" t="s">
        <v>9</v>
      </c>
      <c r="D75" s="21" t="s">
        <v>25</v>
      </c>
    </row>
    <row r="76" spans="1:5" x14ac:dyDescent="0.25">
      <c r="A76" s="5" t="s">
        <v>10</v>
      </c>
      <c r="B76" s="1" t="s">
        <v>70</v>
      </c>
      <c r="C76" s="7">
        <f>D76*$C$18</f>
        <v>5.4382083333333338</v>
      </c>
      <c r="D76" s="29">
        <f>((1/12)*0.05)</f>
        <v>4.1666666666666666E-3</v>
      </c>
    </row>
    <row r="77" spans="1:5" x14ac:dyDescent="0.25">
      <c r="A77" s="5" t="s">
        <v>11</v>
      </c>
      <c r="B77" s="1" t="s">
        <v>74</v>
      </c>
      <c r="C77" s="8">
        <f>D77*$C$76</f>
        <v>0.4350566666666667</v>
      </c>
      <c r="D77" s="17">
        <v>0.08</v>
      </c>
    </row>
    <row r="78" spans="1:5" x14ac:dyDescent="0.25">
      <c r="A78" s="5" t="s">
        <v>12</v>
      </c>
      <c r="B78" s="1" t="s">
        <v>73</v>
      </c>
      <c r="C78" s="8">
        <f>$D$78*$C$76</f>
        <v>0.2365620625</v>
      </c>
      <c r="D78" s="29">
        <f>0.08*0.5*0.9*(1+(5/56)+(5/56)+((1/3)*(5/56)))</f>
        <v>4.3499999999999997E-2</v>
      </c>
    </row>
    <row r="79" spans="1:5" x14ac:dyDescent="0.25">
      <c r="A79" s="5" t="s">
        <v>13</v>
      </c>
      <c r="B79" s="1" t="s">
        <v>75</v>
      </c>
      <c r="C79" s="8">
        <f>$D$79*$C$18</f>
        <v>0.50756611111111116</v>
      </c>
      <c r="D79" s="17">
        <f>((7/30)/12)*0.02</f>
        <v>3.8888888888888892E-4</v>
      </c>
    </row>
    <row r="80" spans="1:5" x14ac:dyDescent="0.25">
      <c r="A80" s="5" t="s">
        <v>14</v>
      </c>
      <c r="B80" s="1" t="s">
        <v>77</v>
      </c>
      <c r="C80" s="8">
        <f>$D$80*$C$79</f>
        <v>0.11234129925925929</v>
      </c>
      <c r="D80" s="17">
        <f>$D$49</f>
        <v>0.22133333333333335</v>
      </c>
    </row>
    <row r="81" spans="1:4" x14ac:dyDescent="0.25">
      <c r="A81" s="5" t="s">
        <v>15</v>
      </c>
      <c r="B81" s="1" t="s">
        <v>78</v>
      </c>
      <c r="C81" s="8">
        <f>$C$79*$D$81</f>
        <v>2.0302644444444448E-2</v>
      </c>
      <c r="D81" s="29">
        <f>0.08*0.5</f>
        <v>0.04</v>
      </c>
    </row>
    <row r="82" spans="1:4" x14ac:dyDescent="0.25">
      <c r="A82" s="78" t="s">
        <v>27</v>
      </c>
      <c r="B82" s="78"/>
      <c r="C82" s="23">
        <f>SUM(C76:C81)</f>
        <v>6.7500371173148155</v>
      </c>
    </row>
    <row r="83" spans="1:4" ht="15" customHeight="1" x14ac:dyDescent="0.25">
      <c r="A83" s="72" t="s">
        <v>71</v>
      </c>
      <c r="B83" s="73"/>
      <c r="C83" s="74"/>
      <c r="D83" s="18"/>
    </row>
    <row r="84" spans="1:4" x14ac:dyDescent="0.25">
      <c r="A84" s="75"/>
      <c r="B84" s="76"/>
      <c r="C84" s="77"/>
      <c r="D84" s="18"/>
    </row>
    <row r="85" spans="1:4" x14ac:dyDescent="0.25">
      <c r="A85" s="64" t="s">
        <v>72</v>
      </c>
      <c r="B85" s="65"/>
      <c r="C85" s="66"/>
    </row>
    <row r="86" spans="1:4" x14ac:dyDescent="0.25">
      <c r="A86" s="64"/>
      <c r="B86" s="65"/>
      <c r="C86" s="66"/>
    </row>
    <row r="87" spans="1:4" ht="15" customHeight="1" x14ac:dyDescent="0.25">
      <c r="A87" s="64" t="s">
        <v>79</v>
      </c>
      <c r="B87" s="65"/>
      <c r="C87" s="66"/>
    </row>
    <row r="88" spans="1:4" x14ac:dyDescent="0.25">
      <c r="A88" s="64"/>
      <c r="B88" s="65"/>
      <c r="C88" s="66"/>
    </row>
    <row r="89" spans="1:4" x14ac:dyDescent="0.25">
      <c r="A89" s="67"/>
      <c r="B89" s="68"/>
      <c r="C89" s="69"/>
    </row>
    <row r="91" spans="1:4" x14ac:dyDescent="0.25">
      <c r="A91" s="21" t="s">
        <v>59</v>
      </c>
      <c r="B91" s="21" t="s">
        <v>92</v>
      </c>
      <c r="C91" s="21" t="s">
        <v>9</v>
      </c>
      <c r="D91" s="21" t="s">
        <v>25</v>
      </c>
    </row>
    <row r="92" spans="1:4" x14ac:dyDescent="0.25">
      <c r="A92" s="5" t="s">
        <v>10</v>
      </c>
      <c r="B92" s="1" t="s">
        <v>80</v>
      </c>
      <c r="C92" s="8">
        <f>$C$18*D92</f>
        <v>116.53303571428572</v>
      </c>
      <c r="D92" s="29">
        <f>(5/56)</f>
        <v>8.9285714285714288E-2</v>
      </c>
    </row>
    <row r="93" spans="1:4" x14ac:dyDescent="0.25">
      <c r="A93" s="5" t="s">
        <v>11</v>
      </c>
      <c r="B93" s="1" t="s">
        <v>83</v>
      </c>
      <c r="C93" s="8">
        <f t="shared" ref="C93:C97" si="1">$C$18*D93</f>
        <v>21.607814444444447</v>
      </c>
      <c r="D93" s="29">
        <f>(5.96/30)/12</f>
        <v>1.6555555555555556E-2</v>
      </c>
    </row>
    <row r="94" spans="1:4" x14ac:dyDescent="0.25">
      <c r="A94" s="5" t="s">
        <v>12</v>
      </c>
      <c r="B94" s="1" t="s">
        <v>85</v>
      </c>
      <c r="C94" s="8">
        <f t="shared" si="1"/>
        <v>0.27191041666666665</v>
      </c>
      <c r="D94" s="29">
        <f>((5/30)/12)*0.015</f>
        <v>2.0833333333333332E-4</v>
      </c>
    </row>
    <row r="95" spans="1:4" ht="17.25" x14ac:dyDescent="0.25">
      <c r="A95" s="5" t="s">
        <v>13</v>
      </c>
      <c r="B95" s="1" t="s">
        <v>87</v>
      </c>
      <c r="C95" s="8">
        <f t="shared" si="1"/>
        <v>3.6254722222222227</v>
      </c>
      <c r="D95" s="29">
        <f>(1/30)/12</f>
        <v>2.7777777777777779E-3</v>
      </c>
    </row>
    <row r="96" spans="1:4" ht="17.25" x14ac:dyDescent="0.25">
      <c r="A96" s="5" t="s">
        <v>14</v>
      </c>
      <c r="B96" s="1" t="s">
        <v>89</v>
      </c>
      <c r="C96" s="8">
        <f t="shared" si="1"/>
        <v>0.42418024999999998</v>
      </c>
      <c r="D96" s="29">
        <f>((15/30)/12)*0.0078</f>
        <v>3.2499999999999999E-4</v>
      </c>
    </row>
    <row r="97" spans="1:6" ht="17.25" x14ac:dyDescent="0.25">
      <c r="A97" s="5" t="s">
        <v>15</v>
      </c>
      <c r="B97" s="1" t="s">
        <v>90</v>
      </c>
      <c r="C97" s="8">
        <f t="shared" si="1"/>
        <v>3.6254722222222227</v>
      </c>
      <c r="D97" s="29">
        <f>(1/30)/12</f>
        <v>2.7777777777777779E-3</v>
      </c>
    </row>
    <row r="98" spans="1:6" x14ac:dyDescent="0.25">
      <c r="A98" s="91" t="s">
        <v>61</v>
      </c>
      <c r="B98" s="91"/>
      <c r="C98" s="24">
        <f>SUM(C92:C97)</f>
        <v>146.08788526984125</v>
      </c>
      <c r="D98" s="29"/>
    </row>
    <row r="99" spans="1:6" x14ac:dyDescent="0.25">
      <c r="A99" s="5" t="s">
        <v>16</v>
      </c>
      <c r="B99" s="20" t="s">
        <v>66</v>
      </c>
      <c r="C99" s="8">
        <f>$C$98*$D$99</f>
        <v>32.334118606391534</v>
      </c>
      <c r="D99" s="29">
        <f>$D$49</f>
        <v>0.22133333333333335</v>
      </c>
    </row>
    <row r="100" spans="1:6" x14ac:dyDescent="0.25">
      <c r="A100" s="78" t="s">
        <v>27</v>
      </c>
      <c r="B100" s="78"/>
      <c r="C100" s="34">
        <f>SUM(C98:C99)</f>
        <v>178.42200387623279</v>
      </c>
    </row>
    <row r="101" spans="1:6" x14ac:dyDescent="0.25">
      <c r="A101" s="98" t="s">
        <v>81</v>
      </c>
      <c r="B101" s="99"/>
      <c r="C101" s="100"/>
    </row>
    <row r="102" spans="1:6" x14ac:dyDescent="0.25">
      <c r="A102" s="64"/>
      <c r="B102" s="65"/>
      <c r="C102" s="66"/>
    </row>
    <row r="103" spans="1:6" ht="15" customHeight="1" x14ac:dyDescent="0.25">
      <c r="A103" s="64" t="s">
        <v>82</v>
      </c>
      <c r="B103" s="65"/>
      <c r="C103" s="66"/>
      <c r="D103" s="30"/>
    </row>
    <row r="104" spans="1:6" x14ac:dyDescent="0.25">
      <c r="A104" s="64"/>
      <c r="B104" s="65"/>
      <c r="C104" s="66"/>
      <c r="D104" s="30"/>
    </row>
    <row r="105" spans="1:6" x14ac:dyDescent="0.25">
      <c r="A105" s="64"/>
      <c r="B105" s="65"/>
      <c r="C105" s="66"/>
      <c r="D105" s="30"/>
    </row>
    <row r="106" spans="1:6" ht="15" customHeight="1" x14ac:dyDescent="0.25">
      <c r="A106" s="75" t="s">
        <v>84</v>
      </c>
      <c r="B106" s="76"/>
      <c r="C106" s="77"/>
      <c r="D106" s="18"/>
    </row>
    <row r="107" spans="1:6" x14ac:dyDescent="0.25">
      <c r="A107" s="75"/>
      <c r="B107" s="76"/>
      <c r="C107" s="77"/>
      <c r="D107" s="18"/>
    </row>
    <row r="108" spans="1:6" x14ac:dyDescent="0.25">
      <c r="A108" s="75"/>
      <c r="B108" s="76"/>
      <c r="C108" s="77"/>
      <c r="D108" s="18"/>
    </row>
    <row r="109" spans="1:6" x14ac:dyDescent="0.25">
      <c r="A109" s="75"/>
      <c r="B109" s="76"/>
      <c r="C109" s="77"/>
      <c r="D109" s="18"/>
    </row>
    <row r="110" spans="1:6" ht="15" customHeight="1" x14ac:dyDescent="0.25">
      <c r="A110" s="95" t="s">
        <v>86</v>
      </c>
      <c r="B110" s="96"/>
      <c r="C110" s="97"/>
      <c r="D110" s="32"/>
      <c r="E110" s="31"/>
      <c r="F110" s="31"/>
    </row>
    <row r="111" spans="1:6" x14ac:dyDescent="0.25">
      <c r="A111" s="75" t="s">
        <v>88</v>
      </c>
      <c r="B111" s="76"/>
      <c r="C111" s="77"/>
    </row>
    <row r="112" spans="1:6" x14ac:dyDescent="0.25">
      <c r="A112" s="75"/>
      <c r="B112" s="76"/>
      <c r="C112" s="77"/>
    </row>
    <row r="113" spans="1:4" x14ac:dyDescent="0.25">
      <c r="A113" s="75"/>
      <c r="B113" s="76"/>
      <c r="C113" s="77"/>
    </row>
    <row r="114" spans="1:4" x14ac:dyDescent="0.25">
      <c r="A114" s="75"/>
      <c r="B114" s="76"/>
      <c r="C114" s="77"/>
    </row>
    <row r="115" spans="1:4" x14ac:dyDescent="0.25">
      <c r="A115" s="75"/>
      <c r="B115" s="76"/>
      <c r="C115" s="77"/>
    </row>
    <row r="116" spans="1:4" ht="17.25" x14ac:dyDescent="0.25">
      <c r="A116" s="92" t="s">
        <v>91</v>
      </c>
      <c r="B116" s="93"/>
      <c r="C116" s="94"/>
    </row>
    <row r="118" spans="1:4" x14ac:dyDescent="0.25">
      <c r="A118" s="78" t="s">
        <v>102</v>
      </c>
      <c r="B118" s="78"/>
      <c r="C118" s="21" t="s">
        <v>9</v>
      </c>
    </row>
    <row r="119" spans="1:4" x14ac:dyDescent="0.25">
      <c r="A119" s="5" t="s">
        <v>7</v>
      </c>
      <c r="B119" s="1" t="s">
        <v>44</v>
      </c>
      <c r="C119" s="8">
        <f>$C$49</f>
        <v>288.87762666666674</v>
      </c>
    </row>
    <row r="120" spans="1:4" x14ac:dyDescent="0.25">
      <c r="A120" s="5" t="s">
        <v>28</v>
      </c>
      <c r="B120" s="1" t="s">
        <v>60</v>
      </c>
      <c r="C120" s="8">
        <f>$C$62</f>
        <v>189.76757460317461</v>
      </c>
    </row>
    <row r="121" spans="1:4" x14ac:dyDescent="0.25">
      <c r="A121" s="5" t="s">
        <v>38</v>
      </c>
      <c r="B121" s="1" t="s">
        <v>65</v>
      </c>
      <c r="C121" s="8">
        <f>$C$70</f>
        <v>0.76514286080000016</v>
      </c>
    </row>
    <row r="122" spans="1:4" x14ac:dyDescent="0.25">
      <c r="A122" s="5" t="s">
        <v>45</v>
      </c>
      <c r="B122" s="1" t="s">
        <v>69</v>
      </c>
      <c r="C122" s="8">
        <f>$C$82</f>
        <v>6.7500371173148155</v>
      </c>
    </row>
    <row r="123" spans="1:4" x14ac:dyDescent="0.25">
      <c r="A123" s="5" t="s">
        <v>59</v>
      </c>
      <c r="B123" s="1" t="s">
        <v>92</v>
      </c>
      <c r="C123" s="8">
        <f>$C$100</f>
        <v>178.42200387623279</v>
      </c>
    </row>
    <row r="124" spans="1:4" x14ac:dyDescent="0.25">
      <c r="A124" s="78" t="s">
        <v>26</v>
      </c>
      <c r="B124" s="78"/>
      <c r="C124" s="23">
        <f>SUM(C119:C123)</f>
        <v>664.58238512418893</v>
      </c>
    </row>
    <row r="126" spans="1:4" x14ac:dyDescent="0.25">
      <c r="A126" s="71" t="s">
        <v>103</v>
      </c>
      <c r="B126" s="71"/>
      <c r="C126" s="71"/>
      <c r="D126" s="71"/>
    </row>
    <row r="127" spans="1:4" x14ac:dyDescent="0.25">
      <c r="A127" s="71" t="s">
        <v>95</v>
      </c>
      <c r="B127" s="71"/>
      <c r="C127" s="26" t="s">
        <v>9</v>
      </c>
      <c r="D127" s="26" t="s">
        <v>25</v>
      </c>
    </row>
    <row r="128" spans="1:4" x14ac:dyDescent="0.25">
      <c r="A128" s="5" t="s">
        <v>10</v>
      </c>
      <c r="B128" s="1" t="s">
        <v>97</v>
      </c>
      <c r="C128" s="2">
        <f>$C$151*D128</f>
        <v>77.781865553725666</v>
      </c>
      <c r="D128" s="40">
        <v>0.03</v>
      </c>
    </row>
    <row r="129" spans="1:6" x14ac:dyDescent="0.25">
      <c r="A129" s="5" t="s">
        <v>11</v>
      </c>
      <c r="B129" s="1" t="s">
        <v>96</v>
      </c>
      <c r="C129" s="2">
        <f>($C$151+$C$128)*D129</f>
        <v>181.32767770769706</v>
      </c>
      <c r="D129" s="41">
        <v>6.7900000000000002E-2</v>
      </c>
      <c r="F129" s="7"/>
    </row>
    <row r="130" spans="1:6" x14ac:dyDescent="0.25">
      <c r="A130" s="62" t="s">
        <v>61</v>
      </c>
      <c r="B130" s="63"/>
      <c r="C130" s="39">
        <f>C128+C129</f>
        <v>259.10954326142274</v>
      </c>
      <c r="D130" s="45">
        <f>SUM(D128:D129)</f>
        <v>9.7900000000000001E-2</v>
      </c>
    </row>
    <row r="131" spans="1:6" x14ac:dyDescent="0.25">
      <c r="A131" s="5" t="s">
        <v>7</v>
      </c>
      <c r="B131" s="38" t="s">
        <v>104</v>
      </c>
      <c r="C131" s="44">
        <f>($C$151+$C$130)*D131</f>
        <v>71.295959876306966</v>
      </c>
      <c r="D131" s="29">
        <v>2.5000000000000001E-2</v>
      </c>
    </row>
    <row r="132" spans="1:6" x14ac:dyDescent="0.25">
      <c r="A132" s="5" t="s">
        <v>28</v>
      </c>
      <c r="B132" s="38" t="s">
        <v>105</v>
      </c>
      <c r="C132" s="44">
        <f>($C$151+$C$130)*D132</f>
        <v>85.555151851568354</v>
      </c>
      <c r="D132" s="29">
        <v>0.03</v>
      </c>
    </row>
    <row r="133" spans="1:6" x14ac:dyDescent="0.25">
      <c r="A133" s="5" t="s">
        <v>38</v>
      </c>
      <c r="B133" s="38" t="s">
        <v>106</v>
      </c>
      <c r="C133" s="44">
        <f>($C$151+$C$130)*D133</f>
        <v>18.536949567839809</v>
      </c>
      <c r="D133" s="29">
        <v>6.4999999999999997E-3</v>
      </c>
    </row>
    <row r="134" spans="1:6" x14ac:dyDescent="0.25">
      <c r="A134" s="5" t="s">
        <v>45</v>
      </c>
      <c r="B134" s="38" t="s">
        <v>108</v>
      </c>
      <c r="C134" s="44">
        <f>($C$151+$C$130)*D134</f>
        <v>28.518383950522786</v>
      </c>
      <c r="D134" s="29">
        <v>0.01</v>
      </c>
    </row>
    <row r="135" spans="1:6" x14ac:dyDescent="0.25">
      <c r="A135" s="5" t="s">
        <v>59</v>
      </c>
      <c r="B135" s="38" t="s">
        <v>109</v>
      </c>
      <c r="C135" s="44">
        <f>($C$151+$C$130)*D135</f>
        <v>28.518383950522786</v>
      </c>
      <c r="D135" s="29">
        <v>0.01</v>
      </c>
    </row>
    <row r="136" spans="1:6" x14ac:dyDescent="0.25">
      <c r="A136" s="5" t="s">
        <v>12</v>
      </c>
      <c r="B136" s="6" t="s">
        <v>110</v>
      </c>
      <c r="C136" s="39">
        <f>SUM(C131:C135)</f>
        <v>232.42482919676067</v>
      </c>
      <c r="D136" s="45">
        <f>SUM(D131:D135)</f>
        <v>8.1499999999999989E-2</v>
      </c>
    </row>
    <row r="137" spans="1:6" x14ac:dyDescent="0.25">
      <c r="A137" s="70" t="s">
        <v>26</v>
      </c>
      <c r="B137" s="70"/>
      <c r="C137" s="37">
        <f>C130+C136</f>
        <v>491.53437245818338</v>
      </c>
      <c r="D137" s="46">
        <f>D130+D136</f>
        <v>0.1794</v>
      </c>
    </row>
    <row r="138" spans="1:6" x14ac:dyDescent="0.25">
      <c r="A138" s="72" t="s">
        <v>98</v>
      </c>
      <c r="B138" s="73"/>
      <c r="C138" s="74"/>
    </row>
    <row r="139" spans="1:6" x14ac:dyDescent="0.25">
      <c r="A139" s="75"/>
      <c r="B139" s="76"/>
      <c r="C139" s="77"/>
    </row>
    <row r="140" spans="1:6" ht="15" customHeight="1" x14ac:dyDescent="0.25">
      <c r="A140" s="64" t="s">
        <v>107</v>
      </c>
      <c r="B140" s="65"/>
      <c r="C140" s="66"/>
    </row>
    <row r="141" spans="1:6" x14ac:dyDescent="0.25">
      <c r="A141" s="64"/>
      <c r="B141" s="65"/>
      <c r="C141" s="66"/>
    </row>
    <row r="142" spans="1:6" x14ac:dyDescent="0.25">
      <c r="A142" s="64"/>
      <c r="B142" s="65"/>
      <c r="C142" s="66"/>
    </row>
    <row r="143" spans="1:6" x14ac:dyDescent="0.25">
      <c r="A143" s="67"/>
      <c r="B143" s="68"/>
      <c r="C143" s="69"/>
    </row>
    <row r="146" spans="1:3" x14ac:dyDescent="0.25">
      <c r="B146" s="59" t="s">
        <v>111</v>
      </c>
      <c r="C146" s="60"/>
    </row>
    <row r="147" spans="1:3" x14ac:dyDescent="0.25">
      <c r="A147" s="42"/>
      <c r="B147" s="47" t="s">
        <v>112</v>
      </c>
      <c r="C147" s="2">
        <f>$C$18</f>
        <v>1305.17</v>
      </c>
    </row>
    <row r="148" spans="1:3" x14ac:dyDescent="0.25">
      <c r="A148" s="42"/>
      <c r="B148" s="47" t="s">
        <v>113</v>
      </c>
      <c r="C148" s="2">
        <f>$C$28</f>
        <v>602.3098</v>
      </c>
    </row>
    <row r="149" spans="1:3" x14ac:dyDescent="0.25">
      <c r="A149" s="42"/>
      <c r="B149" s="47" t="s">
        <v>114</v>
      </c>
      <c r="C149" s="2">
        <f>$C$36</f>
        <v>20.666666666666668</v>
      </c>
    </row>
    <row r="150" spans="1:3" x14ac:dyDescent="0.25">
      <c r="A150" s="42"/>
      <c r="B150" s="47" t="s">
        <v>115</v>
      </c>
      <c r="C150" s="2">
        <f>$C$124</f>
        <v>664.58238512418893</v>
      </c>
    </row>
    <row r="151" spans="1:3" x14ac:dyDescent="0.25">
      <c r="B151" s="48" t="s">
        <v>117</v>
      </c>
      <c r="C151" s="24">
        <f>SUM(C147:C150)</f>
        <v>2592.7288517908555</v>
      </c>
    </row>
    <row r="152" spans="1:3" x14ac:dyDescent="0.25">
      <c r="B152" s="47" t="s">
        <v>118</v>
      </c>
      <c r="C152" s="8">
        <f>$C$137</f>
        <v>491.53437245818338</v>
      </c>
    </row>
    <row r="153" spans="1:3" x14ac:dyDescent="0.25">
      <c r="B153" s="43" t="s">
        <v>119</v>
      </c>
      <c r="C153" s="49">
        <f>C151+C152</f>
        <v>3084.263224249039</v>
      </c>
    </row>
  </sheetData>
  <mergeCells count="41">
    <mergeCell ref="A55:C55"/>
    <mergeCell ref="A54:C54"/>
    <mergeCell ref="A60:B60"/>
    <mergeCell ref="A18:B18"/>
    <mergeCell ref="A28:B28"/>
    <mergeCell ref="A36:B36"/>
    <mergeCell ref="A37:C37"/>
    <mergeCell ref="A49:B49"/>
    <mergeCell ref="A50:C50"/>
    <mergeCell ref="A9:D9"/>
    <mergeCell ref="A30:C30"/>
    <mergeCell ref="A98:B98"/>
    <mergeCell ref="A39:D39"/>
    <mergeCell ref="A118:B118"/>
    <mergeCell ref="A111:C115"/>
    <mergeCell ref="A106:C109"/>
    <mergeCell ref="A103:C105"/>
    <mergeCell ref="A116:C116"/>
    <mergeCell ref="A110:C110"/>
    <mergeCell ref="A100:B100"/>
    <mergeCell ref="A101:C102"/>
    <mergeCell ref="A82:B82"/>
    <mergeCell ref="A83:C84"/>
    <mergeCell ref="A85:C86"/>
    <mergeCell ref="A87:C89"/>
    <mergeCell ref="B146:C146"/>
    <mergeCell ref="A20:F20"/>
    <mergeCell ref="A130:B130"/>
    <mergeCell ref="A140:C143"/>
    <mergeCell ref="A137:B137"/>
    <mergeCell ref="A127:B127"/>
    <mergeCell ref="A138:C139"/>
    <mergeCell ref="A124:B124"/>
    <mergeCell ref="A126:D126"/>
    <mergeCell ref="A62:B62"/>
    <mergeCell ref="A63:C65"/>
    <mergeCell ref="A70:B70"/>
    <mergeCell ref="A71:C73"/>
    <mergeCell ref="A51:C51"/>
    <mergeCell ref="A52:C52"/>
    <mergeCell ref="A53:C53"/>
  </mergeCells>
  <pageMargins left="0.511811024" right="0.511811024" top="0.78740157499999996" bottom="0.78740157499999996" header="0.31496062000000002" footer="0.31496062000000002"/>
  <pageSetup paperSize="9" orientation="portrait" verticalDpi="0" r:id="rId1"/>
  <ignoredErrors>
    <ignoredError sqref="D9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54"/>
  <sheetViews>
    <sheetView topLeftCell="A145" zoomScale="90" zoomScaleNormal="90" workbookViewId="0">
      <selection activeCell="D166" sqref="D166"/>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9.42578125" hidden="1" customWidth="1"/>
    <col min="8" max="8" width="17.28515625" hidden="1" customWidth="1"/>
    <col min="9" max="9" width="20.5703125" hidden="1" customWidth="1"/>
    <col min="10" max="10" width="20" hidden="1" customWidth="1"/>
    <col min="11" max="11" width="10.5703125" hidden="1" customWidth="1"/>
    <col min="12" max="12" width="16.42578125" hidden="1" customWidth="1"/>
  </cols>
  <sheetData>
    <row r="2" spans="1:18" x14ac:dyDescent="0.25">
      <c r="B2" s="1" t="s">
        <v>0</v>
      </c>
      <c r="C2" s="5" t="s">
        <v>126</v>
      </c>
    </row>
    <row r="3" spans="1:18" x14ac:dyDescent="0.25">
      <c r="B3" s="1" t="s">
        <v>1</v>
      </c>
      <c r="C3" s="2">
        <v>1305.17</v>
      </c>
    </row>
    <row r="4" spans="1:18" x14ac:dyDescent="0.25">
      <c r="B4" s="1" t="s">
        <v>2</v>
      </c>
      <c r="C4" s="5" t="s">
        <v>122</v>
      </c>
    </row>
    <row r="5" spans="1:18" x14ac:dyDescent="0.25">
      <c r="B5" s="3" t="s">
        <v>4</v>
      </c>
      <c r="C5" s="5" t="s">
        <v>5</v>
      </c>
    </row>
    <row r="6" spans="1:18" x14ac:dyDescent="0.25">
      <c r="B6" s="3" t="s">
        <v>120</v>
      </c>
      <c r="C6" s="1" t="s">
        <v>6</v>
      </c>
    </row>
    <row r="7" spans="1:18" x14ac:dyDescent="0.25">
      <c r="B7" s="1" t="s">
        <v>3</v>
      </c>
      <c r="C7" s="4">
        <v>43466</v>
      </c>
    </row>
    <row r="9" spans="1:18" x14ac:dyDescent="0.25">
      <c r="A9" s="89" t="s">
        <v>99</v>
      </c>
      <c r="B9" s="89"/>
      <c r="C9" s="89"/>
      <c r="D9" s="89"/>
    </row>
    <row r="10" spans="1:18" x14ac:dyDescent="0.25">
      <c r="A10" s="9" t="s">
        <v>7</v>
      </c>
      <c r="B10" s="9" t="s">
        <v>8</v>
      </c>
      <c r="C10" s="9" t="s">
        <v>9</v>
      </c>
      <c r="D10" s="9" t="s">
        <v>25</v>
      </c>
      <c r="G10" s="9" t="s">
        <v>129</v>
      </c>
      <c r="H10" s="9" t="s">
        <v>127</v>
      </c>
      <c r="I10" s="9" t="s">
        <v>124</v>
      </c>
      <c r="J10" s="9" t="s">
        <v>130</v>
      </c>
      <c r="K10" s="9" t="s">
        <v>125</v>
      </c>
      <c r="L10" s="9" t="s">
        <v>128</v>
      </c>
    </row>
    <row r="11" spans="1:18" x14ac:dyDescent="0.25">
      <c r="A11" s="5" t="s">
        <v>10</v>
      </c>
      <c r="B11" s="1" t="s">
        <v>18</v>
      </c>
      <c r="C11" s="2">
        <f>$C$3</f>
        <v>1305.17</v>
      </c>
      <c r="D11" s="1"/>
      <c r="G11" s="52">
        <f>60/52.5</f>
        <v>1.1428571428571428</v>
      </c>
      <c r="H11" s="1">
        <f>(50/60)</f>
        <v>0.83333333333333337</v>
      </c>
      <c r="I11" s="1">
        <f>(H11*G11)-H11</f>
        <v>0.11904761904761896</v>
      </c>
      <c r="J11" s="1">
        <f>I11*26</f>
        <v>3.0952380952380931</v>
      </c>
      <c r="K11" s="8">
        <f>C11/220</f>
        <v>5.9325909090909095</v>
      </c>
      <c r="L11" s="8">
        <f>K11*1.5</f>
        <v>8.8988863636363646</v>
      </c>
    </row>
    <row r="12" spans="1:18" x14ac:dyDescent="0.25">
      <c r="A12" s="5" t="s">
        <v>11</v>
      </c>
      <c r="B12" s="1" t="s">
        <v>19</v>
      </c>
      <c r="C12" s="2">
        <v>0</v>
      </c>
      <c r="D12" s="1"/>
      <c r="I12" s="9" t="s">
        <v>133</v>
      </c>
      <c r="J12" s="9" t="s">
        <v>132</v>
      </c>
      <c r="K12" s="9" t="s">
        <v>134</v>
      </c>
      <c r="L12" s="9" t="s">
        <v>131</v>
      </c>
    </row>
    <row r="13" spans="1:18" x14ac:dyDescent="0.25">
      <c r="A13" s="5" t="s">
        <v>12</v>
      </c>
      <c r="B13" s="1" t="s">
        <v>20</v>
      </c>
      <c r="C13" s="2">
        <f>$C$11*$D$13</f>
        <v>0</v>
      </c>
      <c r="D13" s="16"/>
      <c r="I13" s="1">
        <f>(50/60)</f>
        <v>0.83333333333333337</v>
      </c>
      <c r="J13" s="5">
        <f>I13*K13</f>
        <v>21.666666666666668</v>
      </c>
      <c r="K13" s="1">
        <v>26</v>
      </c>
      <c r="L13" s="8">
        <f>K11*0.2</f>
        <v>1.186518181818182</v>
      </c>
    </row>
    <row r="14" spans="1:18" x14ac:dyDescent="0.25">
      <c r="A14" s="5" t="s">
        <v>13</v>
      </c>
      <c r="B14" s="1" t="s">
        <v>21</v>
      </c>
      <c r="C14" s="2">
        <f>L13*J13</f>
        <v>25.707893939393944</v>
      </c>
      <c r="D14" s="54">
        <v>0.2</v>
      </c>
    </row>
    <row r="15" spans="1:18" x14ac:dyDescent="0.25">
      <c r="A15" s="5" t="s">
        <v>14</v>
      </c>
      <c r="B15" s="1" t="s">
        <v>22</v>
      </c>
      <c r="C15" s="2">
        <f>J11*L11</f>
        <v>27.544172077922063</v>
      </c>
      <c r="D15" s="55"/>
      <c r="Q15" s="51"/>
      <c r="R15" s="51"/>
    </row>
    <row r="16" spans="1:18" x14ac:dyDescent="0.25">
      <c r="A16" s="5" t="s">
        <v>15</v>
      </c>
      <c r="B16" s="1" t="s">
        <v>135</v>
      </c>
      <c r="C16" s="2">
        <f>(C14+C15)*D16</f>
        <v>10.650413203463202</v>
      </c>
      <c r="D16" s="55">
        <v>0.2</v>
      </c>
      <c r="Q16" s="51"/>
      <c r="R16" s="51"/>
    </row>
    <row r="17" spans="1:7" x14ac:dyDescent="0.25">
      <c r="A17" s="5" t="s">
        <v>16</v>
      </c>
      <c r="B17" s="1" t="s">
        <v>23</v>
      </c>
      <c r="C17" s="2">
        <v>0</v>
      </c>
      <c r="D17" s="1"/>
    </row>
    <row r="18" spans="1:7" x14ac:dyDescent="0.25">
      <c r="A18" s="53" t="s">
        <v>17</v>
      </c>
      <c r="B18" s="1" t="s">
        <v>24</v>
      </c>
      <c r="C18" s="2">
        <v>0</v>
      </c>
      <c r="D18" s="1"/>
    </row>
    <row r="19" spans="1:7" x14ac:dyDescent="0.25">
      <c r="A19" s="89" t="s">
        <v>27</v>
      </c>
      <c r="B19" s="89"/>
      <c r="C19" s="11">
        <f>SUM(C11:C18)</f>
        <v>1369.0724792207791</v>
      </c>
    </row>
    <row r="20" spans="1:7" x14ac:dyDescent="0.25">
      <c r="A20" s="12"/>
      <c r="B20" s="12"/>
      <c r="C20" s="12"/>
    </row>
    <row r="21" spans="1:7" x14ac:dyDescent="0.25">
      <c r="A21" s="61" t="s">
        <v>93</v>
      </c>
      <c r="B21" s="61"/>
      <c r="C21" s="61"/>
      <c r="D21" s="61"/>
      <c r="E21" s="61"/>
      <c r="F21" s="61"/>
    </row>
    <row r="22" spans="1:7" x14ac:dyDescent="0.25">
      <c r="A22" s="10" t="s">
        <v>28</v>
      </c>
      <c r="B22" s="10" t="s">
        <v>29</v>
      </c>
      <c r="C22" s="10" t="s">
        <v>9</v>
      </c>
      <c r="D22" s="10" t="s">
        <v>35</v>
      </c>
      <c r="E22" s="10" t="s">
        <v>36</v>
      </c>
      <c r="F22" s="10" t="s">
        <v>116</v>
      </c>
    </row>
    <row r="23" spans="1:7" x14ac:dyDescent="0.25">
      <c r="A23" s="5" t="s">
        <v>10</v>
      </c>
      <c r="B23" s="1" t="s">
        <v>30</v>
      </c>
      <c r="C23" s="2">
        <f>(D23*E23*2)-F23</f>
        <v>166.08980000000003</v>
      </c>
      <c r="D23" s="5">
        <v>26</v>
      </c>
      <c r="E23" s="2">
        <v>4.7</v>
      </c>
      <c r="F23" s="8">
        <f>6%*C11</f>
        <v>78.310199999999995</v>
      </c>
    </row>
    <row r="24" spans="1:7" x14ac:dyDescent="0.25">
      <c r="A24" s="5" t="s">
        <v>11</v>
      </c>
      <c r="B24" s="1" t="s">
        <v>31</v>
      </c>
      <c r="C24" s="2">
        <f>(D24*E24)-F24</f>
        <v>421.2</v>
      </c>
      <c r="D24" s="5">
        <v>26</v>
      </c>
      <c r="E24" s="2">
        <v>20</v>
      </c>
      <c r="F24" s="8">
        <f>19%*G24</f>
        <v>98.8</v>
      </c>
      <c r="G24" s="7">
        <f>(D24*E24)</f>
        <v>520</v>
      </c>
    </row>
    <row r="25" spans="1:7" x14ac:dyDescent="0.25">
      <c r="A25" s="5" t="s">
        <v>12</v>
      </c>
      <c r="B25" s="1" t="s">
        <v>33</v>
      </c>
      <c r="C25" s="2">
        <v>0</v>
      </c>
      <c r="D25" s="5"/>
      <c r="E25" s="1"/>
      <c r="F25" s="1"/>
    </row>
    <row r="26" spans="1:7" x14ac:dyDescent="0.25">
      <c r="A26" s="5" t="s">
        <v>13</v>
      </c>
      <c r="B26" s="1" t="s">
        <v>32</v>
      </c>
      <c r="C26" s="2">
        <v>0</v>
      </c>
      <c r="D26" s="5"/>
      <c r="E26" s="1"/>
      <c r="F26" s="1"/>
    </row>
    <row r="27" spans="1:7" x14ac:dyDescent="0.25">
      <c r="A27" s="5" t="s">
        <v>14</v>
      </c>
      <c r="B27" s="1" t="s">
        <v>34</v>
      </c>
      <c r="C27" s="2">
        <v>0</v>
      </c>
      <c r="D27" s="5"/>
      <c r="E27" s="1"/>
      <c r="F27" s="1"/>
    </row>
    <row r="28" spans="1:7" x14ac:dyDescent="0.25">
      <c r="A28" s="5" t="s">
        <v>15</v>
      </c>
      <c r="B28" s="1" t="s">
        <v>37</v>
      </c>
      <c r="C28" s="2">
        <v>15.02</v>
      </c>
      <c r="D28" s="5"/>
      <c r="E28" s="1"/>
      <c r="F28" s="1"/>
    </row>
    <row r="29" spans="1:7" x14ac:dyDescent="0.25">
      <c r="A29" s="61" t="s">
        <v>27</v>
      </c>
      <c r="B29" s="61"/>
      <c r="C29" s="13">
        <f>SUM(C23:C28)</f>
        <v>602.3098</v>
      </c>
    </row>
    <row r="31" spans="1:7" x14ac:dyDescent="0.25">
      <c r="A31" s="90" t="s">
        <v>100</v>
      </c>
      <c r="B31" s="90"/>
      <c r="C31" s="90"/>
    </row>
    <row r="32" spans="1:7" x14ac:dyDescent="0.25">
      <c r="A32" s="15" t="s">
        <v>38</v>
      </c>
      <c r="B32" s="15" t="s">
        <v>39</v>
      </c>
      <c r="C32" s="15" t="s">
        <v>9</v>
      </c>
    </row>
    <row r="33" spans="1:4" x14ac:dyDescent="0.25">
      <c r="A33" s="5" t="s">
        <v>10</v>
      </c>
      <c r="B33" s="1" t="s">
        <v>42</v>
      </c>
      <c r="C33" s="2">
        <f>248/12</f>
        <v>20.666666666666668</v>
      </c>
    </row>
    <row r="34" spans="1:4" x14ac:dyDescent="0.25">
      <c r="A34" s="5" t="s">
        <v>11</v>
      </c>
      <c r="B34" s="1" t="s">
        <v>40</v>
      </c>
      <c r="C34" s="2">
        <v>0</v>
      </c>
    </row>
    <row r="35" spans="1:4" x14ac:dyDescent="0.25">
      <c r="A35" s="5" t="s">
        <v>12</v>
      </c>
      <c r="B35" s="1" t="s">
        <v>41</v>
      </c>
      <c r="C35" s="2">
        <v>0</v>
      </c>
    </row>
    <row r="36" spans="1:4" x14ac:dyDescent="0.25">
      <c r="A36" s="5" t="s">
        <v>13</v>
      </c>
      <c r="B36" s="1" t="s">
        <v>43</v>
      </c>
      <c r="C36" s="2">
        <v>0</v>
      </c>
    </row>
    <row r="37" spans="1:4" x14ac:dyDescent="0.25">
      <c r="A37" s="107" t="s">
        <v>27</v>
      </c>
      <c r="B37" s="107"/>
      <c r="C37" s="50">
        <f>SUM(C33:C36)</f>
        <v>20.666666666666668</v>
      </c>
    </row>
    <row r="38" spans="1:4" ht="30" customHeight="1" x14ac:dyDescent="0.25">
      <c r="A38" s="108" t="s">
        <v>121</v>
      </c>
      <c r="B38" s="108"/>
      <c r="C38" s="108"/>
    </row>
    <row r="40" spans="1:4" x14ac:dyDescent="0.25">
      <c r="A40" s="78" t="s">
        <v>101</v>
      </c>
      <c r="B40" s="78"/>
      <c r="C40" s="78"/>
      <c r="D40" s="78"/>
    </row>
    <row r="41" spans="1:4" x14ac:dyDescent="0.25">
      <c r="A41" s="22" t="s">
        <v>7</v>
      </c>
      <c r="B41" s="22" t="s">
        <v>44</v>
      </c>
      <c r="C41" s="22" t="s">
        <v>9</v>
      </c>
      <c r="D41" s="22" t="s">
        <v>25</v>
      </c>
    </row>
    <row r="42" spans="1:4" x14ac:dyDescent="0.25">
      <c r="A42" s="5" t="s">
        <v>10</v>
      </c>
      <c r="B42" s="1" t="s">
        <v>46</v>
      </c>
      <c r="C42" s="8">
        <f>$C$19*D42</f>
        <v>109.52579833766232</v>
      </c>
      <c r="D42" s="17">
        <v>0.08</v>
      </c>
    </row>
    <row r="43" spans="1:4" x14ac:dyDescent="0.25">
      <c r="A43" s="5" t="s">
        <v>11</v>
      </c>
      <c r="B43" s="1" t="s">
        <v>48</v>
      </c>
      <c r="C43" s="8">
        <f t="shared" ref="C43:C49" si="0">$C$19*D43</f>
        <v>20.536087188311686</v>
      </c>
      <c r="D43" s="17">
        <v>1.4999999999999999E-2</v>
      </c>
    </row>
    <row r="44" spans="1:4" x14ac:dyDescent="0.25">
      <c r="A44" s="5" t="s">
        <v>12</v>
      </c>
      <c r="B44" s="1" t="s">
        <v>50</v>
      </c>
      <c r="C44" s="8">
        <f t="shared" si="0"/>
        <v>13.69072479220779</v>
      </c>
      <c r="D44" s="17">
        <v>0.01</v>
      </c>
    </row>
    <row r="45" spans="1:4" x14ac:dyDescent="0.25">
      <c r="A45" s="5" t="s">
        <v>13</v>
      </c>
      <c r="B45" s="1" t="s">
        <v>52</v>
      </c>
      <c r="C45" s="8">
        <f t="shared" si="0"/>
        <v>2.7381449584415583</v>
      </c>
      <c r="D45" s="17">
        <v>2E-3</v>
      </c>
    </row>
    <row r="46" spans="1:4" ht="17.25" x14ac:dyDescent="0.25">
      <c r="A46" s="5" t="s">
        <v>14</v>
      </c>
      <c r="B46" s="1" t="s">
        <v>54</v>
      </c>
      <c r="C46" s="8">
        <f t="shared" si="0"/>
        <v>34.226811980519479</v>
      </c>
      <c r="D46" s="17">
        <v>2.5000000000000001E-2</v>
      </c>
    </row>
    <row r="47" spans="1:4" x14ac:dyDescent="0.25">
      <c r="A47" s="5" t="s">
        <v>15</v>
      </c>
      <c r="B47" s="1" t="s">
        <v>47</v>
      </c>
      <c r="C47" s="8">
        <f t="shared" si="0"/>
        <v>109.52579833766232</v>
      </c>
      <c r="D47" s="17">
        <v>0.08</v>
      </c>
    </row>
    <row r="48" spans="1:4" ht="17.25" x14ac:dyDescent="0.25">
      <c r="A48" s="5" t="s">
        <v>16</v>
      </c>
      <c r="B48" s="1" t="s">
        <v>58</v>
      </c>
      <c r="C48" s="8">
        <f t="shared" si="0"/>
        <v>4.5635749307359301</v>
      </c>
      <c r="D48" s="17">
        <f>((15/30)/12)*0.08</f>
        <v>3.3333333333333331E-3</v>
      </c>
    </row>
    <row r="49" spans="1:4" ht="17.25" x14ac:dyDescent="0.25">
      <c r="A49" s="5" t="s">
        <v>17</v>
      </c>
      <c r="B49" s="1" t="s">
        <v>56</v>
      </c>
      <c r="C49" s="8">
        <f t="shared" si="0"/>
        <v>8.2144348753246739</v>
      </c>
      <c r="D49" s="17">
        <v>6.0000000000000001E-3</v>
      </c>
    </row>
    <row r="50" spans="1:4" x14ac:dyDescent="0.25">
      <c r="A50" s="109" t="s">
        <v>27</v>
      </c>
      <c r="B50" s="109"/>
      <c r="C50" s="35">
        <f>SUM(C42:C49)</f>
        <v>303.02137540086574</v>
      </c>
      <c r="D50" s="36">
        <f>SUM(D42:D49)</f>
        <v>0.22133333333333335</v>
      </c>
    </row>
    <row r="51" spans="1:4" x14ac:dyDescent="0.25">
      <c r="A51" s="110" t="s">
        <v>49</v>
      </c>
      <c r="B51" s="111"/>
      <c r="C51" s="112"/>
    </row>
    <row r="52" spans="1:4" x14ac:dyDescent="0.25">
      <c r="A52" s="83" t="s">
        <v>51</v>
      </c>
      <c r="B52" s="84"/>
      <c r="C52" s="85"/>
    </row>
    <row r="53" spans="1:4" x14ac:dyDescent="0.25">
      <c r="A53" s="83" t="s">
        <v>53</v>
      </c>
      <c r="B53" s="84"/>
      <c r="C53" s="85"/>
    </row>
    <row r="54" spans="1:4" ht="30.75" customHeight="1" x14ac:dyDescent="0.25">
      <c r="A54" s="86" t="s">
        <v>55</v>
      </c>
      <c r="B54" s="87"/>
      <c r="C54" s="88"/>
    </row>
    <row r="55" spans="1:4" ht="17.25" x14ac:dyDescent="0.25">
      <c r="A55" s="104" t="s">
        <v>94</v>
      </c>
      <c r="B55" s="105"/>
      <c r="C55" s="106"/>
    </row>
    <row r="56" spans="1:4" ht="17.25" x14ac:dyDescent="0.25">
      <c r="A56" s="101" t="s">
        <v>57</v>
      </c>
      <c r="B56" s="102"/>
      <c r="C56" s="103"/>
    </row>
    <row r="57" spans="1:4" x14ac:dyDescent="0.25">
      <c r="A57" s="33"/>
      <c r="B57" s="33"/>
      <c r="C57" s="33"/>
    </row>
    <row r="58" spans="1:4" x14ac:dyDescent="0.25">
      <c r="A58" s="22" t="s">
        <v>28</v>
      </c>
      <c r="B58" s="22" t="s">
        <v>60</v>
      </c>
      <c r="C58" s="22" t="s">
        <v>9</v>
      </c>
      <c r="D58" s="22" t="s">
        <v>25</v>
      </c>
    </row>
    <row r="59" spans="1:4" x14ac:dyDescent="0.25">
      <c r="A59" s="5" t="s">
        <v>10</v>
      </c>
      <c r="B59" s="1" t="s">
        <v>62</v>
      </c>
      <c r="C59" s="8">
        <f>D59*$C$19</f>
        <v>122.23861421614099</v>
      </c>
      <c r="D59" s="17">
        <f>(5/56)</f>
        <v>8.9285714285714288E-2</v>
      </c>
    </row>
    <row r="60" spans="1:4" x14ac:dyDescent="0.25">
      <c r="A60" s="5" t="s">
        <v>11</v>
      </c>
      <c r="B60" s="1" t="s">
        <v>63</v>
      </c>
      <c r="C60" s="8">
        <f>D60*$C$19</f>
        <v>40.746204738713658</v>
      </c>
      <c r="D60" s="17">
        <f>(1/3)*(5/56)</f>
        <v>2.976190476190476E-2</v>
      </c>
    </row>
    <row r="61" spans="1:4" x14ac:dyDescent="0.25">
      <c r="A61" s="91" t="s">
        <v>61</v>
      </c>
      <c r="B61" s="91"/>
      <c r="C61" s="24">
        <f>SUM(C59:C60)</f>
        <v>162.98481895485463</v>
      </c>
    </row>
    <row r="62" spans="1:4" ht="15.75" customHeight="1" x14ac:dyDescent="0.25">
      <c r="A62" s="25" t="s">
        <v>12</v>
      </c>
      <c r="B62" s="20" t="s">
        <v>76</v>
      </c>
      <c r="C62" s="8">
        <f>$D$50*$C$61</f>
        <v>36.073973262007826</v>
      </c>
    </row>
    <row r="63" spans="1:4" x14ac:dyDescent="0.25">
      <c r="A63" s="78" t="s">
        <v>27</v>
      </c>
      <c r="B63" s="78"/>
      <c r="C63" s="23">
        <f>$C$61+$C$62</f>
        <v>199.05879221686246</v>
      </c>
    </row>
    <row r="64" spans="1:4" ht="15" customHeight="1" x14ac:dyDescent="0.25">
      <c r="A64" s="72" t="s">
        <v>64</v>
      </c>
      <c r="B64" s="73"/>
      <c r="C64" s="74"/>
    </row>
    <row r="65" spans="1:5" x14ac:dyDescent="0.25">
      <c r="A65" s="75"/>
      <c r="B65" s="76"/>
      <c r="C65" s="77"/>
    </row>
    <row r="66" spans="1:5" x14ac:dyDescent="0.25">
      <c r="A66" s="79"/>
      <c r="B66" s="80"/>
      <c r="C66" s="81"/>
    </row>
    <row r="68" spans="1:5" x14ac:dyDescent="0.25">
      <c r="A68" s="22" t="s">
        <v>38</v>
      </c>
      <c r="B68" s="22" t="s">
        <v>65</v>
      </c>
      <c r="C68" s="22" t="s">
        <v>9</v>
      </c>
    </row>
    <row r="69" spans="1:5" x14ac:dyDescent="0.25">
      <c r="A69" s="5" t="s">
        <v>10</v>
      </c>
      <c r="B69" s="1" t="s">
        <v>67</v>
      </c>
      <c r="C69" s="2">
        <f>(0.0144*0.1*(4/12))*$C$19</f>
        <v>0.65715479002597399</v>
      </c>
    </row>
    <row r="70" spans="1:5" x14ac:dyDescent="0.25">
      <c r="A70" s="5" t="s">
        <v>11</v>
      </c>
      <c r="B70" s="20" t="s">
        <v>66</v>
      </c>
      <c r="C70" s="2">
        <f>$C$69*$D$50</f>
        <v>0.14545026019241558</v>
      </c>
    </row>
    <row r="71" spans="1:5" x14ac:dyDescent="0.25">
      <c r="A71" s="78" t="s">
        <v>27</v>
      </c>
      <c r="B71" s="78"/>
      <c r="C71" s="23">
        <f>SUM(C69:C70)</f>
        <v>0.80260505021838957</v>
      </c>
      <c r="E71" s="7"/>
    </row>
    <row r="72" spans="1:5" ht="15" customHeight="1" x14ac:dyDescent="0.25">
      <c r="A72" s="82" t="s">
        <v>68</v>
      </c>
      <c r="B72" s="82"/>
      <c r="C72" s="82"/>
    </row>
    <row r="73" spans="1:5" x14ac:dyDescent="0.25">
      <c r="A73" s="82"/>
      <c r="B73" s="82"/>
      <c r="C73" s="82"/>
    </row>
    <row r="74" spans="1:5" x14ac:dyDescent="0.25">
      <c r="A74" s="82"/>
      <c r="B74" s="82"/>
      <c r="C74" s="82"/>
    </row>
    <row r="75" spans="1:5" ht="18.75" x14ac:dyDescent="0.3">
      <c r="A75" s="28"/>
    </row>
    <row r="76" spans="1:5" x14ac:dyDescent="0.25">
      <c r="A76" s="22" t="s">
        <v>45</v>
      </c>
      <c r="B76" s="22" t="s">
        <v>69</v>
      </c>
      <c r="C76" s="22" t="s">
        <v>9</v>
      </c>
      <c r="D76" s="22" t="s">
        <v>25</v>
      </c>
    </row>
    <row r="77" spans="1:5" x14ac:dyDescent="0.25">
      <c r="A77" s="5" t="s">
        <v>10</v>
      </c>
      <c r="B77" s="1" t="s">
        <v>70</v>
      </c>
      <c r="C77" s="7">
        <f>D77*$C$19</f>
        <v>5.7044686634199131</v>
      </c>
      <c r="D77" s="29">
        <f>((1/12)*0.05)</f>
        <v>4.1666666666666666E-3</v>
      </c>
    </row>
    <row r="78" spans="1:5" x14ac:dyDescent="0.25">
      <c r="A78" s="5" t="s">
        <v>11</v>
      </c>
      <c r="B78" s="1" t="s">
        <v>74</v>
      </c>
      <c r="C78" s="8">
        <f>D78*$C$77</f>
        <v>0.45635749307359308</v>
      </c>
      <c r="D78" s="17">
        <v>0.08</v>
      </c>
    </row>
    <row r="79" spans="1:5" x14ac:dyDescent="0.25">
      <c r="A79" s="5" t="s">
        <v>12</v>
      </c>
      <c r="B79" s="1" t="s">
        <v>73</v>
      </c>
      <c r="C79" s="8">
        <f>$D$79*$C$77</f>
        <v>0.24814438685876619</v>
      </c>
      <c r="D79" s="29">
        <f>0.08*0.5*0.9*(1+(5/56)+(5/56)+((1/3)*(5/56)))</f>
        <v>4.3499999999999997E-2</v>
      </c>
    </row>
    <row r="80" spans="1:5" x14ac:dyDescent="0.25">
      <c r="A80" s="5" t="s">
        <v>13</v>
      </c>
      <c r="B80" s="1" t="s">
        <v>75</v>
      </c>
      <c r="C80" s="8">
        <f>$D$80*$C$19</f>
        <v>0.53241707525252524</v>
      </c>
      <c r="D80" s="17">
        <f>((7/30)/12)*0.02</f>
        <v>3.8888888888888892E-4</v>
      </c>
    </row>
    <row r="81" spans="1:4" x14ac:dyDescent="0.25">
      <c r="A81" s="5" t="s">
        <v>14</v>
      </c>
      <c r="B81" s="1" t="s">
        <v>77</v>
      </c>
      <c r="C81" s="8">
        <f>$D$81*$C$80</f>
        <v>0.1178416459892256</v>
      </c>
      <c r="D81" s="17">
        <f>$D$50</f>
        <v>0.22133333333333335</v>
      </c>
    </row>
    <row r="82" spans="1:4" x14ac:dyDescent="0.25">
      <c r="A82" s="5" t="s">
        <v>15</v>
      </c>
      <c r="B82" s="1" t="s">
        <v>78</v>
      </c>
      <c r="C82" s="8">
        <f>$C$80*$D$82</f>
        <v>2.1296683010101011E-2</v>
      </c>
      <c r="D82" s="29">
        <f>0.08*0.5</f>
        <v>0.04</v>
      </c>
    </row>
    <row r="83" spans="1:4" x14ac:dyDescent="0.25">
      <c r="A83" s="78" t="s">
        <v>27</v>
      </c>
      <c r="B83" s="78"/>
      <c r="C83" s="23">
        <f>SUM(C77:C82)</f>
        <v>7.0805259476041256</v>
      </c>
    </row>
    <row r="84" spans="1:4" ht="15" customHeight="1" x14ac:dyDescent="0.25">
      <c r="A84" s="72" t="s">
        <v>71</v>
      </c>
      <c r="B84" s="73"/>
      <c r="C84" s="74"/>
      <c r="D84" s="18"/>
    </row>
    <row r="85" spans="1:4" x14ac:dyDescent="0.25">
      <c r="A85" s="75"/>
      <c r="B85" s="76"/>
      <c r="C85" s="77"/>
      <c r="D85" s="18"/>
    </row>
    <row r="86" spans="1:4" x14ac:dyDescent="0.25">
      <c r="A86" s="64" t="s">
        <v>72</v>
      </c>
      <c r="B86" s="65"/>
      <c r="C86" s="66"/>
    </row>
    <row r="87" spans="1:4" x14ac:dyDescent="0.25">
      <c r="A87" s="64"/>
      <c r="B87" s="65"/>
      <c r="C87" s="66"/>
    </row>
    <row r="88" spans="1:4" ht="15" customHeight="1" x14ac:dyDescent="0.25">
      <c r="A88" s="64" t="s">
        <v>79</v>
      </c>
      <c r="B88" s="65"/>
      <c r="C88" s="66"/>
    </row>
    <row r="89" spans="1:4" x14ac:dyDescent="0.25">
      <c r="A89" s="64"/>
      <c r="B89" s="65"/>
      <c r="C89" s="66"/>
    </row>
    <row r="90" spans="1:4" x14ac:dyDescent="0.25">
      <c r="A90" s="67"/>
      <c r="B90" s="68"/>
      <c r="C90" s="69"/>
    </row>
    <row r="92" spans="1:4" x14ac:dyDescent="0.25">
      <c r="A92" s="22" t="s">
        <v>59</v>
      </c>
      <c r="B92" s="22" t="s">
        <v>92</v>
      </c>
      <c r="C92" s="22" t="s">
        <v>9</v>
      </c>
      <c r="D92" s="22" t="s">
        <v>25</v>
      </c>
    </row>
    <row r="93" spans="1:4" x14ac:dyDescent="0.25">
      <c r="A93" s="5" t="s">
        <v>10</v>
      </c>
      <c r="B93" s="1" t="s">
        <v>80</v>
      </c>
      <c r="C93" s="8">
        <f>$C$19*D93</f>
        <v>122.23861421614099</v>
      </c>
      <c r="D93" s="29">
        <f>(5/56)</f>
        <v>8.9285714285714288E-2</v>
      </c>
    </row>
    <row r="94" spans="1:4" x14ac:dyDescent="0.25">
      <c r="A94" s="5" t="s">
        <v>11</v>
      </c>
      <c r="B94" s="1" t="s">
        <v>83</v>
      </c>
      <c r="C94" s="8">
        <f t="shared" ref="C94:C98" si="1">$C$19*D94</f>
        <v>22.665755489321789</v>
      </c>
      <c r="D94" s="29">
        <f>(5.96/30)/12</f>
        <v>1.6555555555555556E-2</v>
      </c>
    </row>
    <row r="95" spans="1:4" x14ac:dyDescent="0.25">
      <c r="A95" s="5" t="s">
        <v>12</v>
      </c>
      <c r="B95" s="1" t="s">
        <v>85</v>
      </c>
      <c r="C95" s="8">
        <f t="shared" si="1"/>
        <v>0.28522343317099563</v>
      </c>
      <c r="D95" s="29">
        <f>((5/30)/12)*0.015</f>
        <v>2.0833333333333332E-4</v>
      </c>
    </row>
    <row r="96" spans="1:4" ht="17.25" x14ac:dyDescent="0.25">
      <c r="A96" s="5" t="s">
        <v>13</v>
      </c>
      <c r="B96" s="1" t="s">
        <v>87</v>
      </c>
      <c r="C96" s="8">
        <f t="shared" si="1"/>
        <v>3.8029791089466087</v>
      </c>
      <c r="D96" s="29">
        <f>(1/30)/12</f>
        <v>2.7777777777777779E-3</v>
      </c>
    </row>
    <row r="97" spans="1:6" ht="17.25" x14ac:dyDescent="0.25">
      <c r="A97" s="5" t="s">
        <v>14</v>
      </c>
      <c r="B97" s="1" t="s">
        <v>89</v>
      </c>
      <c r="C97" s="8">
        <f t="shared" si="1"/>
        <v>0.44494855574675318</v>
      </c>
      <c r="D97" s="29">
        <f>((15/30)/12)*0.0078</f>
        <v>3.2499999999999999E-4</v>
      </c>
    </row>
    <row r="98" spans="1:6" ht="17.25" x14ac:dyDescent="0.25">
      <c r="A98" s="5" t="s">
        <v>15</v>
      </c>
      <c r="B98" s="1" t="s">
        <v>90</v>
      </c>
      <c r="C98" s="8">
        <f t="shared" si="1"/>
        <v>3.8029791089466087</v>
      </c>
      <c r="D98" s="29">
        <f>(1/30)/12</f>
        <v>2.7777777777777779E-3</v>
      </c>
    </row>
    <row r="99" spans="1:6" x14ac:dyDescent="0.25">
      <c r="A99" s="91" t="s">
        <v>61</v>
      </c>
      <c r="B99" s="91"/>
      <c r="C99" s="24">
        <f>SUM(C93:C98)</f>
        <v>153.24049991227372</v>
      </c>
      <c r="D99" s="29"/>
    </row>
    <row r="100" spans="1:6" x14ac:dyDescent="0.25">
      <c r="A100" s="5" t="s">
        <v>16</v>
      </c>
      <c r="B100" s="20" t="s">
        <v>66</v>
      </c>
      <c r="C100" s="8">
        <f>$C$99*$D$100</f>
        <v>33.917230647249923</v>
      </c>
      <c r="D100" s="29">
        <f>$D$50</f>
        <v>0.22133333333333335</v>
      </c>
    </row>
    <row r="101" spans="1:6" x14ac:dyDescent="0.25">
      <c r="A101" s="78" t="s">
        <v>27</v>
      </c>
      <c r="B101" s="78"/>
      <c r="C101" s="34">
        <f>SUM(C99:C100)</f>
        <v>187.15773055952366</v>
      </c>
    </row>
    <row r="102" spans="1:6" x14ac:dyDescent="0.25">
      <c r="A102" s="98" t="s">
        <v>81</v>
      </c>
      <c r="B102" s="99"/>
      <c r="C102" s="100"/>
    </row>
    <row r="103" spans="1:6" x14ac:dyDescent="0.25">
      <c r="A103" s="64"/>
      <c r="B103" s="65"/>
      <c r="C103" s="66"/>
    </row>
    <row r="104" spans="1:6" ht="15" customHeight="1" x14ac:dyDescent="0.25">
      <c r="A104" s="64" t="s">
        <v>82</v>
      </c>
      <c r="B104" s="65"/>
      <c r="C104" s="66"/>
      <c r="D104" s="30"/>
    </row>
    <row r="105" spans="1:6" x14ac:dyDescent="0.25">
      <c r="A105" s="64"/>
      <c r="B105" s="65"/>
      <c r="C105" s="66"/>
      <c r="D105" s="30"/>
    </row>
    <row r="106" spans="1:6" x14ac:dyDescent="0.25">
      <c r="A106" s="64"/>
      <c r="B106" s="65"/>
      <c r="C106" s="66"/>
      <c r="D106" s="30"/>
    </row>
    <row r="107" spans="1:6" ht="15" customHeight="1" x14ac:dyDescent="0.25">
      <c r="A107" s="75" t="s">
        <v>84</v>
      </c>
      <c r="B107" s="76"/>
      <c r="C107" s="77"/>
      <c r="D107" s="18"/>
    </row>
    <row r="108" spans="1:6" x14ac:dyDescent="0.25">
      <c r="A108" s="75"/>
      <c r="B108" s="76"/>
      <c r="C108" s="77"/>
      <c r="D108" s="18"/>
    </row>
    <row r="109" spans="1:6" x14ac:dyDescent="0.25">
      <c r="A109" s="75"/>
      <c r="B109" s="76"/>
      <c r="C109" s="77"/>
      <c r="D109" s="18"/>
    </row>
    <row r="110" spans="1:6" x14ac:dyDescent="0.25">
      <c r="A110" s="75"/>
      <c r="B110" s="76"/>
      <c r="C110" s="77"/>
      <c r="D110" s="18"/>
    </row>
    <row r="111" spans="1:6" ht="15" customHeight="1" x14ac:dyDescent="0.25">
      <c r="A111" s="95" t="s">
        <v>86</v>
      </c>
      <c r="B111" s="96"/>
      <c r="C111" s="97"/>
      <c r="D111" s="32"/>
      <c r="E111" s="31"/>
      <c r="F111" s="31"/>
    </row>
    <row r="112" spans="1:6" x14ac:dyDescent="0.25">
      <c r="A112" s="75" t="s">
        <v>88</v>
      </c>
      <c r="B112" s="76"/>
      <c r="C112" s="77"/>
    </row>
    <row r="113" spans="1:4" x14ac:dyDescent="0.25">
      <c r="A113" s="75"/>
      <c r="B113" s="76"/>
      <c r="C113" s="77"/>
    </row>
    <row r="114" spans="1:4" x14ac:dyDescent="0.25">
      <c r="A114" s="75"/>
      <c r="B114" s="76"/>
      <c r="C114" s="77"/>
    </row>
    <row r="115" spans="1:4" x14ac:dyDescent="0.25">
      <c r="A115" s="75"/>
      <c r="B115" s="76"/>
      <c r="C115" s="77"/>
    </row>
    <row r="116" spans="1:4" x14ac:dyDescent="0.25">
      <c r="A116" s="75"/>
      <c r="B116" s="76"/>
      <c r="C116" s="77"/>
    </row>
    <row r="117" spans="1:4" ht="17.25" x14ac:dyDescent="0.25">
      <c r="A117" s="92" t="s">
        <v>91</v>
      </c>
      <c r="B117" s="93"/>
      <c r="C117" s="94"/>
    </row>
    <row r="119" spans="1:4" x14ac:dyDescent="0.25">
      <c r="A119" s="78" t="s">
        <v>102</v>
      </c>
      <c r="B119" s="78"/>
      <c r="C119" s="22" t="s">
        <v>9</v>
      </c>
    </row>
    <row r="120" spans="1:4" x14ac:dyDescent="0.25">
      <c r="A120" s="5" t="s">
        <v>7</v>
      </c>
      <c r="B120" s="1" t="s">
        <v>44</v>
      </c>
      <c r="C120" s="8">
        <f>$C$50</f>
        <v>303.02137540086574</v>
      </c>
    </row>
    <row r="121" spans="1:4" x14ac:dyDescent="0.25">
      <c r="A121" s="5" t="s">
        <v>28</v>
      </c>
      <c r="B121" s="1" t="s">
        <v>60</v>
      </c>
      <c r="C121" s="8">
        <f>$C$63</f>
        <v>199.05879221686246</v>
      </c>
    </row>
    <row r="122" spans="1:4" x14ac:dyDescent="0.25">
      <c r="A122" s="5" t="s">
        <v>38</v>
      </c>
      <c r="B122" s="1" t="s">
        <v>65</v>
      </c>
      <c r="C122" s="8">
        <f>$C$71</f>
        <v>0.80260505021838957</v>
      </c>
    </row>
    <row r="123" spans="1:4" x14ac:dyDescent="0.25">
      <c r="A123" s="5" t="s">
        <v>45</v>
      </c>
      <c r="B123" s="1" t="s">
        <v>69</v>
      </c>
      <c r="C123" s="8">
        <f>$C$83</f>
        <v>7.0805259476041256</v>
      </c>
    </row>
    <row r="124" spans="1:4" x14ac:dyDescent="0.25">
      <c r="A124" s="5" t="s">
        <v>59</v>
      </c>
      <c r="B124" s="1" t="s">
        <v>92</v>
      </c>
      <c r="C124" s="8">
        <f>$C$101</f>
        <v>187.15773055952366</v>
      </c>
    </row>
    <row r="125" spans="1:4" x14ac:dyDescent="0.25">
      <c r="A125" s="78" t="s">
        <v>26</v>
      </c>
      <c r="B125" s="78"/>
      <c r="C125" s="23">
        <f>SUM(C120:C124)</f>
        <v>697.12102917507445</v>
      </c>
    </row>
    <row r="127" spans="1:4" x14ac:dyDescent="0.25">
      <c r="A127" s="71" t="s">
        <v>103</v>
      </c>
      <c r="B127" s="71"/>
      <c r="C127" s="71"/>
      <c r="D127" s="71"/>
    </row>
    <row r="128" spans="1:4" x14ac:dyDescent="0.25">
      <c r="A128" s="71" t="s">
        <v>95</v>
      </c>
      <c r="B128" s="71"/>
      <c r="C128" s="27" t="s">
        <v>9</v>
      </c>
      <c r="D128" s="27" t="s">
        <v>25</v>
      </c>
    </row>
    <row r="129" spans="1:6" x14ac:dyDescent="0.25">
      <c r="A129" s="5" t="s">
        <v>10</v>
      </c>
      <c r="B129" s="1" t="s">
        <v>97</v>
      </c>
      <c r="C129" s="2">
        <f>$C$152*D129</f>
        <v>80.675099251875608</v>
      </c>
      <c r="D129" s="40">
        <v>0.03</v>
      </c>
    </row>
    <row r="130" spans="1:6" x14ac:dyDescent="0.25">
      <c r="A130" s="5" t="s">
        <v>11</v>
      </c>
      <c r="B130" s="1" t="s">
        <v>96</v>
      </c>
      <c r="C130" s="2">
        <f>($C$152+$C$129)*D130</f>
        <v>188.07248054594749</v>
      </c>
      <c r="D130" s="41">
        <v>6.7900000000000002E-2</v>
      </c>
      <c r="F130" s="7"/>
    </row>
    <row r="131" spans="1:6" x14ac:dyDescent="0.25">
      <c r="A131" s="62" t="s">
        <v>61</v>
      </c>
      <c r="B131" s="63"/>
      <c r="C131" s="39">
        <f>C129+C130</f>
        <v>268.74757979782311</v>
      </c>
      <c r="D131" s="45">
        <f>SUM(D129:D130)</f>
        <v>9.7900000000000001E-2</v>
      </c>
    </row>
    <row r="132" spans="1:6" x14ac:dyDescent="0.25">
      <c r="A132" s="5" t="s">
        <v>7</v>
      </c>
      <c r="B132" s="38" t="s">
        <v>104</v>
      </c>
      <c r="C132" s="44">
        <f>($C$152+$C$131)*D132</f>
        <v>73.947938871508583</v>
      </c>
      <c r="D132" s="29">
        <v>2.5000000000000001E-2</v>
      </c>
    </row>
    <row r="133" spans="1:6" x14ac:dyDescent="0.25">
      <c r="A133" s="5" t="s">
        <v>28</v>
      </c>
      <c r="B133" s="38" t="s">
        <v>105</v>
      </c>
      <c r="C133" s="44">
        <f>($C$152+$C$131)*D133</f>
        <v>88.737526645810306</v>
      </c>
      <c r="D133" s="29">
        <v>0.03</v>
      </c>
    </row>
    <row r="134" spans="1:6" x14ac:dyDescent="0.25">
      <c r="A134" s="5" t="s">
        <v>38</v>
      </c>
      <c r="B134" s="38" t="s">
        <v>106</v>
      </c>
      <c r="C134" s="44">
        <f>($C$152+$C$131)*D134</f>
        <v>19.226464106592232</v>
      </c>
      <c r="D134" s="29">
        <v>6.4999999999999997E-3</v>
      </c>
    </row>
    <row r="135" spans="1:6" x14ac:dyDescent="0.25">
      <c r="A135" s="5" t="s">
        <v>45</v>
      </c>
      <c r="B135" s="38" t="s">
        <v>108</v>
      </c>
      <c r="C135" s="44">
        <f>($C$152+$C$131)*D135</f>
        <v>29.579175548603434</v>
      </c>
      <c r="D135" s="29">
        <v>0.01</v>
      </c>
    </row>
    <row r="136" spans="1:6" x14ac:dyDescent="0.25">
      <c r="A136" s="5" t="s">
        <v>59</v>
      </c>
      <c r="B136" s="38" t="s">
        <v>109</v>
      </c>
      <c r="C136" s="44">
        <f>($C$152+$C$131)*D136</f>
        <v>29.579175548603434</v>
      </c>
      <c r="D136" s="29">
        <v>0.01</v>
      </c>
    </row>
    <row r="137" spans="1:6" x14ac:dyDescent="0.25">
      <c r="A137" s="5" t="s">
        <v>12</v>
      </c>
      <c r="B137" s="19" t="s">
        <v>110</v>
      </c>
      <c r="C137" s="39">
        <f>SUM(C132:C136)</f>
        <v>241.07028072111802</v>
      </c>
      <c r="D137" s="45">
        <f>SUM(D132:D136)</f>
        <v>8.1499999999999989E-2</v>
      </c>
    </row>
    <row r="138" spans="1:6" x14ac:dyDescent="0.25">
      <c r="A138" s="70" t="s">
        <v>26</v>
      </c>
      <c r="B138" s="70"/>
      <c r="C138" s="37">
        <f>C131+C137</f>
        <v>509.81786051894113</v>
      </c>
      <c r="D138" s="46">
        <f>D131+D137</f>
        <v>0.1794</v>
      </c>
    </row>
    <row r="139" spans="1:6" x14ac:dyDescent="0.25">
      <c r="A139" s="72" t="s">
        <v>98</v>
      </c>
      <c r="B139" s="73"/>
      <c r="C139" s="74"/>
    </row>
    <row r="140" spans="1:6" x14ac:dyDescent="0.25">
      <c r="A140" s="75"/>
      <c r="B140" s="76"/>
      <c r="C140" s="77"/>
    </row>
    <row r="141" spans="1:6" ht="15" customHeight="1" x14ac:dyDescent="0.25">
      <c r="A141" s="64" t="s">
        <v>107</v>
      </c>
      <c r="B141" s="65"/>
      <c r="C141" s="66"/>
    </row>
    <row r="142" spans="1:6" x14ac:dyDescent="0.25">
      <c r="A142" s="64"/>
      <c r="B142" s="65"/>
      <c r="C142" s="66"/>
    </row>
    <row r="143" spans="1:6" x14ac:dyDescent="0.25">
      <c r="A143" s="64"/>
      <c r="B143" s="65"/>
      <c r="C143" s="66"/>
    </row>
    <row r="144" spans="1:6" x14ac:dyDescent="0.25">
      <c r="A144" s="67"/>
      <c r="B144" s="68"/>
      <c r="C144" s="69"/>
    </row>
    <row r="147" spans="1:3" x14ac:dyDescent="0.25">
      <c r="B147" s="59" t="s">
        <v>111</v>
      </c>
      <c r="C147" s="60"/>
    </row>
    <row r="148" spans="1:3" x14ac:dyDescent="0.25">
      <c r="A148" s="42"/>
      <c r="B148" s="47" t="s">
        <v>112</v>
      </c>
      <c r="C148" s="2">
        <f>$C$19</f>
        <v>1369.0724792207791</v>
      </c>
    </row>
    <row r="149" spans="1:3" x14ac:dyDescent="0.25">
      <c r="A149" s="42"/>
      <c r="B149" s="47" t="s">
        <v>113</v>
      </c>
      <c r="C149" s="2">
        <f>$C$29</f>
        <v>602.3098</v>
      </c>
    </row>
    <row r="150" spans="1:3" x14ac:dyDescent="0.25">
      <c r="A150" s="42"/>
      <c r="B150" s="47" t="s">
        <v>114</v>
      </c>
      <c r="C150" s="2">
        <f>$C$37</f>
        <v>20.666666666666668</v>
      </c>
    </row>
    <row r="151" spans="1:3" x14ac:dyDescent="0.25">
      <c r="A151" s="42"/>
      <c r="B151" s="47" t="s">
        <v>115</v>
      </c>
      <c r="C151" s="2">
        <f>$C$125</f>
        <v>697.12102917507445</v>
      </c>
    </row>
    <row r="152" spans="1:3" x14ac:dyDescent="0.25">
      <c r="B152" s="48" t="s">
        <v>117</v>
      </c>
      <c r="C152" s="24">
        <f>SUM(C148:C151)</f>
        <v>2689.1699750625203</v>
      </c>
    </row>
    <row r="153" spans="1:3" x14ac:dyDescent="0.25">
      <c r="B153" s="47" t="s">
        <v>118</v>
      </c>
      <c r="C153" s="8">
        <f>$C$138</f>
        <v>509.81786051894113</v>
      </c>
    </row>
    <row r="154" spans="1:3" x14ac:dyDescent="0.25">
      <c r="B154" s="43" t="s">
        <v>119</v>
      </c>
      <c r="C154" s="49">
        <f>C152+C153</f>
        <v>3198.9878355814612</v>
      </c>
    </row>
  </sheetData>
  <mergeCells count="41">
    <mergeCell ref="A131:B131"/>
    <mergeCell ref="A138:B138"/>
    <mergeCell ref="A139:C140"/>
    <mergeCell ref="A141:C144"/>
    <mergeCell ref="B147:C147"/>
    <mergeCell ref="A128:B128"/>
    <mergeCell ref="A99:B99"/>
    <mergeCell ref="A101:B101"/>
    <mergeCell ref="A102:C103"/>
    <mergeCell ref="A104:C106"/>
    <mergeCell ref="A107:C110"/>
    <mergeCell ref="A111:C111"/>
    <mergeCell ref="A112:C116"/>
    <mergeCell ref="A117:C117"/>
    <mergeCell ref="A119:B119"/>
    <mergeCell ref="A125:B125"/>
    <mergeCell ref="A127:D127"/>
    <mergeCell ref="A88:C90"/>
    <mergeCell ref="A54:C54"/>
    <mergeCell ref="A55:C55"/>
    <mergeCell ref="A56:C56"/>
    <mergeCell ref="A61:B61"/>
    <mergeCell ref="A63:B63"/>
    <mergeCell ref="A64:C66"/>
    <mergeCell ref="A71:B71"/>
    <mergeCell ref="A72:C74"/>
    <mergeCell ref="A83:B83"/>
    <mergeCell ref="A84:C85"/>
    <mergeCell ref="A86:C87"/>
    <mergeCell ref="A53:C53"/>
    <mergeCell ref="A9:D9"/>
    <mergeCell ref="A19:B19"/>
    <mergeCell ref="A21:F21"/>
    <mergeCell ref="A29:B29"/>
    <mergeCell ref="A31:C31"/>
    <mergeCell ref="A37:B37"/>
    <mergeCell ref="A38:C38"/>
    <mergeCell ref="A40:D40"/>
    <mergeCell ref="A50:B50"/>
    <mergeCell ref="A51:C51"/>
    <mergeCell ref="A52:C52"/>
  </mergeCells>
  <pageMargins left="0.511811024" right="0.511811024" top="0.78740157499999996" bottom="0.78740157499999996" header="0.31496062000000002" footer="0.31496062000000002"/>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54"/>
  <sheetViews>
    <sheetView topLeftCell="A58" zoomScale="90" zoomScaleNormal="90" workbookViewId="0">
      <selection activeCell="D166" sqref="D166"/>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9.42578125" customWidth="1"/>
    <col min="8" max="8" width="17.28515625" customWidth="1"/>
    <col min="9" max="9" width="20.5703125" customWidth="1"/>
    <col min="10" max="10" width="20" customWidth="1"/>
    <col min="11" max="11" width="10.5703125" customWidth="1"/>
    <col min="12" max="12" width="16.42578125" customWidth="1"/>
  </cols>
  <sheetData>
    <row r="2" spans="1:18" x14ac:dyDescent="0.25">
      <c r="B2" s="1" t="s">
        <v>0</v>
      </c>
      <c r="C2" s="5" t="s">
        <v>126</v>
      </c>
    </row>
    <row r="3" spans="1:18" x14ac:dyDescent="0.25">
      <c r="B3" s="1" t="s">
        <v>1</v>
      </c>
      <c r="C3" s="2">
        <v>1305.17</v>
      </c>
    </row>
    <row r="4" spans="1:18" x14ac:dyDescent="0.25">
      <c r="B4" s="1" t="s">
        <v>2</v>
      </c>
      <c r="C4" s="5" t="s">
        <v>122</v>
      </c>
    </row>
    <row r="5" spans="1:18" x14ac:dyDescent="0.25">
      <c r="B5" s="3" t="s">
        <v>4</v>
      </c>
      <c r="C5" s="5" t="s">
        <v>5</v>
      </c>
    </row>
    <row r="6" spans="1:18" x14ac:dyDescent="0.25">
      <c r="B6" s="3" t="s">
        <v>120</v>
      </c>
      <c r="C6" s="1" t="s">
        <v>6</v>
      </c>
    </row>
    <row r="7" spans="1:18" x14ac:dyDescent="0.25">
      <c r="B7" s="1" t="s">
        <v>3</v>
      </c>
      <c r="C7" s="4">
        <v>43466</v>
      </c>
    </row>
    <row r="9" spans="1:18" x14ac:dyDescent="0.25">
      <c r="A9" s="89" t="s">
        <v>99</v>
      </c>
      <c r="B9" s="89"/>
      <c r="C9" s="89"/>
      <c r="D9" s="89"/>
    </row>
    <row r="10" spans="1:18" x14ac:dyDescent="0.25">
      <c r="A10" s="9" t="s">
        <v>7</v>
      </c>
      <c r="B10" s="9" t="s">
        <v>8</v>
      </c>
      <c r="C10" s="9" t="s">
        <v>9</v>
      </c>
      <c r="D10" s="9" t="s">
        <v>25</v>
      </c>
      <c r="G10" s="9" t="s">
        <v>129</v>
      </c>
      <c r="H10" s="9" t="s">
        <v>127</v>
      </c>
      <c r="I10" s="9" t="s">
        <v>124</v>
      </c>
      <c r="J10" s="9" t="s">
        <v>130</v>
      </c>
      <c r="K10" s="9" t="s">
        <v>125</v>
      </c>
      <c r="L10" s="9" t="s">
        <v>128</v>
      </c>
    </row>
    <row r="11" spans="1:18" x14ac:dyDescent="0.25">
      <c r="A11" s="5" t="s">
        <v>10</v>
      </c>
      <c r="B11" s="1" t="s">
        <v>18</v>
      </c>
      <c r="C11" s="2">
        <f>$C$3</f>
        <v>1305.17</v>
      </c>
      <c r="D11" s="1"/>
      <c r="G11" s="52">
        <f>60/52.5</f>
        <v>1.1428571428571428</v>
      </c>
      <c r="H11" s="5">
        <v>6.5</v>
      </c>
      <c r="I11" s="5">
        <f>(H11*G11)-H11</f>
        <v>0.92857142857142794</v>
      </c>
      <c r="J11" s="1">
        <f>I11*K13</f>
        <v>24.142857142857125</v>
      </c>
      <c r="K11" s="8">
        <f>C11/220</f>
        <v>5.9325909090909095</v>
      </c>
      <c r="L11" s="8">
        <f>K11*1.5</f>
        <v>8.8988863636363646</v>
      </c>
    </row>
    <row r="12" spans="1:18" x14ac:dyDescent="0.25">
      <c r="A12" s="5" t="s">
        <v>11</v>
      </c>
      <c r="B12" s="1" t="s">
        <v>19</v>
      </c>
      <c r="C12" s="2">
        <v>0</v>
      </c>
      <c r="D12" s="1"/>
      <c r="I12" s="9" t="s">
        <v>133</v>
      </c>
      <c r="J12" s="9" t="s">
        <v>132</v>
      </c>
      <c r="K12" s="9" t="s">
        <v>134</v>
      </c>
      <c r="L12" s="9" t="s">
        <v>131</v>
      </c>
    </row>
    <row r="13" spans="1:18" x14ac:dyDescent="0.25">
      <c r="A13" s="5" t="s">
        <v>12</v>
      </c>
      <c r="B13" s="1" t="s">
        <v>20</v>
      </c>
      <c r="C13" s="2">
        <f>$C$11*$D$13</f>
        <v>0</v>
      </c>
      <c r="D13" s="16"/>
      <c r="I13" s="5">
        <v>6.5</v>
      </c>
      <c r="J13" s="5">
        <f>I13*K13</f>
        <v>169</v>
      </c>
      <c r="K13" s="5">
        <v>26</v>
      </c>
      <c r="L13" s="8">
        <f>K11*0.2</f>
        <v>1.186518181818182</v>
      </c>
    </row>
    <row r="14" spans="1:18" x14ac:dyDescent="0.25">
      <c r="A14" s="5" t="s">
        <v>13</v>
      </c>
      <c r="B14" s="1" t="s">
        <v>21</v>
      </c>
      <c r="C14" s="2">
        <f>L13*J13</f>
        <v>200.52157272727277</v>
      </c>
      <c r="D14" s="54">
        <v>0.2</v>
      </c>
    </row>
    <row r="15" spans="1:18" x14ac:dyDescent="0.25">
      <c r="A15" s="5" t="s">
        <v>14</v>
      </c>
      <c r="B15" s="1" t="s">
        <v>22</v>
      </c>
      <c r="C15" s="2">
        <f>J11*L11</f>
        <v>214.84454220779207</v>
      </c>
      <c r="D15" s="55"/>
      <c r="Q15" s="51"/>
      <c r="R15" s="51"/>
    </row>
    <row r="16" spans="1:18" x14ac:dyDescent="0.25">
      <c r="A16" s="5" t="s">
        <v>15</v>
      </c>
      <c r="B16" s="1" t="s">
        <v>135</v>
      </c>
      <c r="C16" s="2">
        <f>(C14+C15)*D16</f>
        <v>83.073222987012969</v>
      </c>
      <c r="D16" s="55">
        <v>0.2</v>
      </c>
      <c r="Q16" s="51"/>
      <c r="R16" s="51"/>
    </row>
    <row r="17" spans="1:7" x14ac:dyDescent="0.25">
      <c r="A17" s="5" t="s">
        <v>16</v>
      </c>
      <c r="B17" s="1" t="s">
        <v>23</v>
      </c>
      <c r="C17" s="2">
        <v>0</v>
      </c>
      <c r="D17" s="1"/>
    </row>
    <row r="18" spans="1:7" x14ac:dyDescent="0.25">
      <c r="A18" s="53" t="s">
        <v>17</v>
      </c>
      <c r="B18" s="1" t="s">
        <v>24</v>
      </c>
      <c r="C18" s="2">
        <v>0</v>
      </c>
      <c r="D18" s="1"/>
    </row>
    <row r="19" spans="1:7" x14ac:dyDescent="0.25">
      <c r="A19" s="89" t="s">
        <v>27</v>
      </c>
      <c r="B19" s="89"/>
      <c r="C19" s="11">
        <f>SUM(C11:C18)</f>
        <v>1803.6093379220779</v>
      </c>
    </row>
    <row r="20" spans="1:7" x14ac:dyDescent="0.25">
      <c r="A20" s="12"/>
      <c r="B20" s="12"/>
      <c r="C20" s="12"/>
    </row>
    <row r="21" spans="1:7" x14ac:dyDescent="0.25">
      <c r="A21" s="61" t="s">
        <v>93</v>
      </c>
      <c r="B21" s="61"/>
      <c r="C21" s="61"/>
      <c r="D21" s="61"/>
      <c r="E21" s="61"/>
      <c r="F21" s="61"/>
    </row>
    <row r="22" spans="1:7" x14ac:dyDescent="0.25">
      <c r="A22" s="10" t="s">
        <v>28</v>
      </c>
      <c r="B22" s="10" t="s">
        <v>29</v>
      </c>
      <c r="C22" s="10" t="s">
        <v>9</v>
      </c>
      <c r="D22" s="10" t="s">
        <v>35</v>
      </c>
      <c r="E22" s="10" t="s">
        <v>36</v>
      </c>
      <c r="F22" s="10" t="s">
        <v>116</v>
      </c>
    </row>
    <row r="23" spans="1:7" x14ac:dyDescent="0.25">
      <c r="A23" s="5" t="s">
        <v>10</v>
      </c>
      <c r="B23" s="1" t="s">
        <v>30</v>
      </c>
      <c r="C23" s="2">
        <f>(D23*E23*2)-F23</f>
        <v>166.08980000000003</v>
      </c>
      <c r="D23" s="5">
        <v>26</v>
      </c>
      <c r="E23" s="2">
        <v>4.7</v>
      </c>
      <c r="F23" s="8">
        <f>6%*C11</f>
        <v>78.310199999999995</v>
      </c>
    </row>
    <row r="24" spans="1:7" x14ac:dyDescent="0.25">
      <c r="A24" s="5" t="s">
        <v>11</v>
      </c>
      <c r="B24" s="1" t="s">
        <v>31</v>
      </c>
      <c r="C24" s="2">
        <f>(D24*E24)-F24</f>
        <v>421.2</v>
      </c>
      <c r="D24" s="5">
        <v>26</v>
      </c>
      <c r="E24" s="2">
        <v>20</v>
      </c>
      <c r="F24" s="8">
        <f>19%*G24</f>
        <v>98.8</v>
      </c>
      <c r="G24" s="7">
        <f>(D24*E24)</f>
        <v>520</v>
      </c>
    </row>
    <row r="25" spans="1:7" x14ac:dyDescent="0.25">
      <c r="A25" s="5" t="s">
        <v>12</v>
      </c>
      <c r="B25" s="1" t="s">
        <v>33</v>
      </c>
      <c r="C25" s="2">
        <v>0</v>
      </c>
      <c r="D25" s="5"/>
      <c r="E25" s="1"/>
      <c r="F25" s="1"/>
    </row>
    <row r="26" spans="1:7" x14ac:dyDescent="0.25">
      <c r="A26" s="5" t="s">
        <v>13</v>
      </c>
      <c r="B26" s="1" t="s">
        <v>32</v>
      </c>
      <c r="C26" s="2">
        <v>0</v>
      </c>
      <c r="D26" s="5"/>
      <c r="E26" s="1"/>
      <c r="F26" s="1"/>
    </row>
    <row r="27" spans="1:7" x14ac:dyDescent="0.25">
      <c r="A27" s="5" t="s">
        <v>14</v>
      </c>
      <c r="B27" s="1" t="s">
        <v>34</v>
      </c>
      <c r="C27" s="2">
        <v>0</v>
      </c>
      <c r="D27" s="5"/>
      <c r="E27" s="1"/>
      <c r="F27" s="1"/>
    </row>
    <row r="28" spans="1:7" x14ac:dyDescent="0.25">
      <c r="A28" s="5" t="s">
        <v>15</v>
      </c>
      <c r="B28" s="1" t="s">
        <v>37</v>
      </c>
      <c r="C28" s="2">
        <v>15.02</v>
      </c>
      <c r="D28" s="5"/>
      <c r="E28" s="1"/>
      <c r="F28" s="1"/>
    </row>
    <row r="29" spans="1:7" x14ac:dyDescent="0.25">
      <c r="A29" s="61" t="s">
        <v>27</v>
      </c>
      <c r="B29" s="61"/>
      <c r="C29" s="13">
        <f>SUM(C23:C28)</f>
        <v>602.3098</v>
      </c>
    </row>
    <row r="31" spans="1:7" x14ac:dyDescent="0.25">
      <c r="A31" s="90" t="s">
        <v>100</v>
      </c>
      <c r="B31" s="90"/>
      <c r="C31" s="90"/>
    </row>
    <row r="32" spans="1:7" x14ac:dyDescent="0.25">
      <c r="A32" s="15" t="s">
        <v>38</v>
      </c>
      <c r="B32" s="15" t="s">
        <v>39</v>
      </c>
      <c r="C32" s="15" t="s">
        <v>9</v>
      </c>
    </row>
    <row r="33" spans="1:4" x14ac:dyDescent="0.25">
      <c r="A33" s="5" t="s">
        <v>10</v>
      </c>
      <c r="B33" s="1" t="s">
        <v>42</v>
      </c>
      <c r="C33" s="2">
        <f>248/12</f>
        <v>20.666666666666668</v>
      </c>
    </row>
    <row r="34" spans="1:4" x14ac:dyDescent="0.25">
      <c r="A34" s="5" t="s">
        <v>11</v>
      </c>
      <c r="B34" s="1" t="s">
        <v>40</v>
      </c>
      <c r="C34" s="2">
        <v>0</v>
      </c>
    </row>
    <row r="35" spans="1:4" x14ac:dyDescent="0.25">
      <c r="A35" s="5" t="s">
        <v>12</v>
      </c>
      <c r="B35" s="1" t="s">
        <v>41</v>
      </c>
      <c r="C35" s="2">
        <v>0</v>
      </c>
    </row>
    <row r="36" spans="1:4" x14ac:dyDescent="0.25">
      <c r="A36" s="5" t="s">
        <v>13</v>
      </c>
      <c r="B36" s="1" t="s">
        <v>43</v>
      </c>
      <c r="C36" s="2">
        <v>0</v>
      </c>
    </row>
    <row r="37" spans="1:4" x14ac:dyDescent="0.25">
      <c r="A37" s="107" t="s">
        <v>27</v>
      </c>
      <c r="B37" s="107"/>
      <c r="C37" s="50">
        <f>SUM(C33:C36)</f>
        <v>20.666666666666668</v>
      </c>
    </row>
    <row r="38" spans="1:4" ht="30" customHeight="1" x14ac:dyDescent="0.25">
      <c r="A38" s="108" t="s">
        <v>121</v>
      </c>
      <c r="B38" s="108"/>
      <c r="C38" s="108"/>
    </row>
    <row r="40" spans="1:4" x14ac:dyDescent="0.25">
      <c r="A40" s="78" t="s">
        <v>101</v>
      </c>
      <c r="B40" s="78"/>
      <c r="C40" s="78"/>
      <c r="D40" s="78"/>
    </row>
    <row r="41" spans="1:4" x14ac:dyDescent="0.25">
      <c r="A41" s="22" t="s">
        <v>7</v>
      </c>
      <c r="B41" s="22" t="s">
        <v>44</v>
      </c>
      <c r="C41" s="22" t="s">
        <v>9</v>
      </c>
      <c r="D41" s="22" t="s">
        <v>25</v>
      </c>
    </row>
    <row r="42" spans="1:4" x14ac:dyDescent="0.25">
      <c r="A42" s="5" t="s">
        <v>10</v>
      </c>
      <c r="B42" s="1" t="s">
        <v>46</v>
      </c>
      <c r="C42" s="8">
        <f>$C$19*D42</f>
        <v>144.28874703376624</v>
      </c>
      <c r="D42" s="17">
        <v>0.08</v>
      </c>
    </row>
    <row r="43" spans="1:4" x14ac:dyDescent="0.25">
      <c r="A43" s="5" t="s">
        <v>11</v>
      </c>
      <c r="B43" s="1" t="s">
        <v>48</v>
      </c>
      <c r="C43" s="8">
        <f t="shared" ref="C43:C49" si="0">$C$19*D43</f>
        <v>27.054140068831167</v>
      </c>
      <c r="D43" s="17">
        <v>1.4999999999999999E-2</v>
      </c>
    </row>
    <row r="44" spans="1:4" x14ac:dyDescent="0.25">
      <c r="A44" s="5" t="s">
        <v>12</v>
      </c>
      <c r="B44" s="1" t="s">
        <v>50</v>
      </c>
      <c r="C44" s="8">
        <f t="shared" si="0"/>
        <v>18.03609337922078</v>
      </c>
      <c r="D44" s="17">
        <v>0.01</v>
      </c>
    </row>
    <row r="45" spans="1:4" x14ac:dyDescent="0.25">
      <c r="A45" s="5" t="s">
        <v>13</v>
      </c>
      <c r="B45" s="1" t="s">
        <v>52</v>
      </c>
      <c r="C45" s="8">
        <f t="shared" si="0"/>
        <v>3.6072186758441558</v>
      </c>
      <c r="D45" s="17">
        <v>2E-3</v>
      </c>
    </row>
    <row r="46" spans="1:4" ht="17.25" x14ac:dyDescent="0.25">
      <c r="A46" s="5" t="s">
        <v>14</v>
      </c>
      <c r="B46" s="1" t="s">
        <v>54</v>
      </c>
      <c r="C46" s="8">
        <f t="shared" si="0"/>
        <v>45.090233448051947</v>
      </c>
      <c r="D46" s="17">
        <v>2.5000000000000001E-2</v>
      </c>
    </row>
    <row r="47" spans="1:4" x14ac:dyDescent="0.25">
      <c r="A47" s="5" t="s">
        <v>15</v>
      </c>
      <c r="B47" s="1" t="s">
        <v>47</v>
      </c>
      <c r="C47" s="8">
        <f t="shared" si="0"/>
        <v>144.28874703376624</v>
      </c>
      <c r="D47" s="17">
        <v>0.08</v>
      </c>
    </row>
    <row r="48" spans="1:4" ht="17.25" x14ac:dyDescent="0.25">
      <c r="A48" s="5" t="s">
        <v>16</v>
      </c>
      <c r="B48" s="1" t="s">
        <v>58</v>
      </c>
      <c r="C48" s="8">
        <f t="shared" si="0"/>
        <v>6.0120311264069262</v>
      </c>
      <c r="D48" s="17">
        <f>((15/30)/12)*0.08</f>
        <v>3.3333333333333331E-3</v>
      </c>
    </row>
    <row r="49" spans="1:4" ht="17.25" x14ac:dyDescent="0.25">
      <c r="A49" s="5" t="s">
        <v>17</v>
      </c>
      <c r="B49" s="1" t="s">
        <v>56</v>
      </c>
      <c r="C49" s="8">
        <f t="shared" si="0"/>
        <v>10.821656027532468</v>
      </c>
      <c r="D49" s="17">
        <v>6.0000000000000001E-3</v>
      </c>
    </row>
    <row r="50" spans="1:4" x14ac:dyDescent="0.25">
      <c r="A50" s="109" t="s">
        <v>27</v>
      </c>
      <c r="B50" s="109"/>
      <c r="C50" s="35">
        <f>SUM(C42:C49)</f>
        <v>399.19886679341994</v>
      </c>
      <c r="D50" s="36">
        <f>SUM(D42:D49)</f>
        <v>0.22133333333333335</v>
      </c>
    </row>
    <row r="51" spans="1:4" x14ac:dyDescent="0.25">
      <c r="A51" s="110" t="s">
        <v>49</v>
      </c>
      <c r="B51" s="111"/>
      <c r="C51" s="112"/>
    </row>
    <row r="52" spans="1:4" x14ac:dyDescent="0.25">
      <c r="A52" s="83" t="s">
        <v>51</v>
      </c>
      <c r="B52" s="84"/>
      <c r="C52" s="85"/>
    </row>
    <row r="53" spans="1:4" x14ac:dyDescent="0.25">
      <c r="A53" s="83" t="s">
        <v>53</v>
      </c>
      <c r="B53" s="84"/>
      <c r="C53" s="85"/>
    </row>
    <row r="54" spans="1:4" ht="30.75" customHeight="1" x14ac:dyDescent="0.25">
      <c r="A54" s="86" t="s">
        <v>55</v>
      </c>
      <c r="B54" s="87"/>
      <c r="C54" s="88"/>
    </row>
    <row r="55" spans="1:4" ht="17.25" x14ac:dyDescent="0.25">
      <c r="A55" s="104" t="s">
        <v>94</v>
      </c>
      <c r="B55" s="105"/>
      <c r="C55" s="106"/>
    </row>
    <row r="56" spans="1:4" ht="17.25" x14ac:dyDescent="0.25">
      <c r="A56" s="101" t="s">
        <v>57</v>
      </c>
      <c r="B56" s="102"/>
      <c r="C56" s="103"/>
    </row>
    <row r="57" spans="1:4" x14ac:dyDescent="0.25">
      <c r="A57" s="33"/>
      <c r="B57" s="33"/>
      <c r="C57" s="33"/>
    </row>
    <row r="58" spans="1:4" x14ac:dyDescent="0.25">
      <c r="A58" s="22" t="s">
        <v>28</v>
      </c>
      <c r="B58" s="22" t="s">
        <v>60</v>
      </c>
      <c r="C58" s="22" t="s">
        <v>9</v>
      </c>
      <c r="D58" s="22" t="s">
        <v>25</v>
      </c>
    </row>
    <row r="59" spans="1:4" x14ac:dyDescent="0.25">
      <c r="A59" s="5" t="s">
        <v>10</v>
      </c>
      <c r="B59" s="1" t="s">
        <v>62</v>
      </c>
      <c r="C59" s="8">
        <f>D59*$C$19</f>
        <v>161.03654802875695</v>
      </c>
      <c r="D59" s="17">
        <f>(5/56)</f>
        <v>8.9285714285714288E-2</v>
      </c>
    </row>
    <row r="60" spans="1:4" x14ac:dyDescent="0.25">
      <c r="A60" s="5" t="s">
        <v>11</v>
      </c>
      <c r="B60" s="1" t="s">
        <v>63</v>
      </c>
      <c r="C60" s="8">
        <f>D60*$C$19</f>
        <v>53.67884934291898</v>
      </c>
      <c r="D60" s="17">
        <f>(1/3)*(5/56)</f>
        <v>2.976190476190476E-2</v>
      </c>
    </row>
    <row r="61" spans="1:4" x14ac:dyDescent="0.25">
      <c r="A61" s="91" t="s">
        <v>61</v>
      </c>
      <c r="B61" s="91"/>
      <c r="C61" s="24">
        <f>SUM(C59:C60)</f>
        <v>214.71539737167592</v>
      </c>
    </row>
    <row r="62" spans="1:4" ht="15.75" customHeight="1" x14ac:dyDescent="0.25">
      <c r="A62" s="25" t="s">
        <v>12</v>
      </c>
      <c r="B62" s="20" t="s">
        <v>76</v>
      </c>
      <c r="C62" s="8">
        <f>$D$50*$C$61</f>
        <v>47.523674618264273</v>
      </c>
    </row>
    <row r="63" spans="1:4" x14ac:dyDescent="0.25">
      <c r="A63" s="78" t="s">
        <v>27</v>
      </c>
      <c r="B63" s="78"/>
      <c r="C63" s="23">
        <f>$C$61+$C$62</f>
        <v>262.23907198994021</v>
      </c>
    </row>
    <row r="64" spans="1:4" ht="15" customHeight="1" x14ac:dyDescent="0.25">
      <c r="A64" s="72" t="s">
        <v>64</v>
      </c>
      <c r="B64" s="73"/>
      <c r="C64" s="74"/>
    </row>
    <row r="65" spans="1:5" x14ac:dyDescent="0.25">
      <c r="A65" s="75"/>
      <c r="B65" s="76"/>
      <c r="C65" s="77"/>
    </row>
    <row r="66" spans="1:5" x14ac:dyDescent="0.25">
      <c r="A66" s="79"/>
      <c r="B66" s="80"/>
      <c r="C66" s="81"/>
    </row>
    <row r="68" spans="1:5" x14ac:dyDescent="0.25">
      <c r="A68" s="22" t="s">
        <v>38</v>
      </c>
      <c r="B68" s="22" t="s">
        <v>65</v>
      </c>
      <c r="C68" s="22" t="s">
        <v>9</v>
      </c>
    </row>
    <row r="69" spans="1:5" x14ac:dyDescent="0.25">
      <c r="A69" s="5" t="s">
        <v>10</v>
      </c>
      <c r="B69" s="1" t="s">
        <v>67</v>
      </c>
      <c r="C69" s="2">
        <f>(0.0144*0.1*(4/12))*$C$19</f>
        <v>0.86573248220259735</v>
      </c>
    </row>
    <row r="70" spans="1:5" x14ac:dyDescent="0.25">
      <c r="A70" s="5" t="s">
        <v>11</v>
      </c>
      <c r="B70" s="20" t="s">
        <v>66</v>
      </c>
      <c r="C70" s="2">
        <f>$C$69*$D$50</f>
        <v>0.19161545606084157</v>
      </c>
    </row>
    <row r="71" spans="1:5" x14ac:dyDescent="0.25">
      <c r="A71" s="78" t="s">
        <v>27</v>
      </c>
      <c r="B71" s="78"/>
      <c r="C71" s="23">
        <f>SUM(C69:C70)</f>
        <v>1.057347938263439</v>
      </c>
      <c r="E71" s="7"/>
    </row>
    <row r="72" spans="1:5" ht="15" customHeight="1" x14ac:dyDescent="0.25">
      <c r="A72" s="82" t="s">
        <v>68</v>
      </c>
      <c r="B72" s="82"/>
      <c r="C72" s="82"/>
    </row>
    <row r="73" spans="1:5" x14ac:dyDescent="0.25">
      <c r="A73" s="82"/>
      <c r="B73" s="82"/>
      <c r="C73" s="82"/>
    </row>
    <row r="74" spans="1:5" x14ac:dyDescent="0.25">
      <c r="A74" s="82"/>
      <c r="B74" s="82"/>
      <c r="C74" s="82"/>
    </row>
    <row r="75" spans="1:5" ht="18.75" x14ac:dyDescent="0.3">
      <c r="A75" s="28"/>
    </row>
    <row r="76" spans="1:5" x14ac:dyDescent="0.25">
      <c r="A76" s="22" t="s">
        <v>45</v>
      </c>
      <c r="B76" s="22" t="s">
        <v>69</v>
      </c>
      <c r="C76" s="22" t="s">
        <v>9</v>
      </c>
      <c r="D76" s="22" t="s">
        <v>25</v>
      </c>
    </row>
    <row r="77" spans="1:5" x14ac:dyDescent="0.25">
      <c r="A77" s="5" t="s">
        <v>10</v>
      </c>
      <c r="B77" s="1" t="s">
        <v>70</v>
      </c>
      <c r="C77" s="7">
        <f>D77*$C$19</f>
        <v>7.5150389080086581</v>
      </c>
      <c r="D77" s="29">
        <f>((1/12)*0.05)</f>
        <v>4.1666666666666666E-3</v>
      </c>
    </row>
    <row r="78" spans="1:5" x14ac:dyDescent="0.25">
      <c r="A78" s="5" t="s">
        <v>11</v>
      </c>
      <c r="B78" s="1" t="s">
        <v>74</v>
      </c>
      <c r="C78" s="8">
        <f>D78*$C$77</f>
        <v>0.60120311264069271</v>
      </c>
      <c r="D78" s="17">
        <v>0.08</v>
      </c>
    </row>
    <row r="79" spans="1:5" x14ac:dyDescent="0.25">
      <c r="A79" s="5" t="s">
        <v>12</v>
      </c>
      <c r="B79" s="1" t="s">
        <v>73</v>
      </c>
      <c r="C79" s="8">
        <f>$D$79*$C$77</f>
        <v>0.3269041924983766</v>
      </c>
      <c r="D79" s="29">
        <f>0.08*0.5*0.9*(1+(5/56)+(5/56)+((1/3)*(5/56)))</f>
        <v>4.3499999999999997E-2</v>
      </c>
    </row>
    <row r="80" spans="1:5" x14ac:dyDescent="0.25">
      <c r="A80" s="5" t="s">
        <v>13</v>
      </c>
      <c r="B80" s="1" t="s">
        <v>75</v>
      </c>
      <c r="C80" s="8">
        <f>$D$80*$C$19</f>
        <v>0.70140363141414142</v>
      </c>
      <c r="D80" s="17">
        <f>((7/30)/12)*0.02</f>
        <v>3.8888888888888892E-4</v>
      </c>
    </row>
    <row r="81" spans="1:4" x14ac:dyDescent="0.25">
      <c r="A81" s="5" t="s">
        <v>14</v>
      </c>
      <c r="B81" s="1" t="s">
        <v>77</v>
      </c>
      <c r="C81" s="8">
        <f>$D$81*$C$80</f>
        <v>0.15524400375299666</v>
      </c>
      <c r="D81" s="17">
        <f>$D$50</f>
        <v>0.22133333333333335</v>
      </c>
    </row>
    <row r="82" spans="1:4" x14ac:dyDescent="0.25">
      <c r="A82" s="5" t="s">
        <v>15</v>
      </c>
      <c r="B82" s="1" t="s">
        <v>78</v>
      </c>
      <c r="C82" s="8">
        <f>$C$80*$D$82</f>
        <v>2.8056145256565659E-2</v>
      </c>
      <c r="D82" s="29">
        <f>0.08*0.5</f>
        <v>0.04</v>
      </c>
    </row>
    <row r="83" spans="1:4" x14ac:dyDescent="0.25">
      <c r="A83" s="78" t="s">
        <v>27</v>
      </c>
      <c r="B83" s="78"/>
      <c r="C83" s="23">
        <f>SUM(C77:C82)</f>
        <v>9.3278499935714301</v>
      </c>
    </row>
    <row r="84" spans="1:4" ht="15" customHeight="1" x14ac:dyDescent="0.25">
      <c r="A84" s="72" t="s">
        <v>71</v>
      </c>
      <c r="B84" s="73"/>
      <c r="C84" s="74"/>
      <c r="D84" s="18"/>
    </row>
    <row r="85" spans="1:4" x14ac:dyDescent="0.25">
      <c r="A85" s="75"/>
      <c r="B85" s="76"/>
      <c r="C85" s="77"/>
      <c r="D85" s="18"/>
    </row>
    <row r="86" spans="1:4" x14ac:dyDescent="0.25">
      <c r="A86" s="64" t="s">
        <v>72</v>
      </c>
      <c r="B86" s="65"/>
      <c r="C86" s="66"/>
    </row>
    <row r="87" spans="1:4" x14ac:dyDescent="0.25">
      <c r="A87" s="64"/>
      <c r="B87" s="65"/>
      <c r="C87" s="66"/>
    </row>
    <row r="88" spans="1:4" ht="15" customHeight="1" x14ac:dyDescent="0.25">
      <c r="A88" s="64" t="s">
        <v>79</v>
      </c>
      <c r="B88" s="65"/>
      <c r="C88" s="66"/>
    </row>
    <row r="89" spans="1:4" x14ac:dyDescent="0.25">
      <c r="A89" s="64"/>
      <c r="B89" s="65"/>
      <c r="C89" s="66"/>
    </row>
    <row r="90" spans="1:4" x14ac:dyDescent="0.25">
      <c r="A90" s="67"/>
      <c r="B90" s="68"/>
      <c r="C90" s="69"/>
    </row>
    <row r="92" spans="1:4" x14ac:dyDescent="0.25">
      <c r="A92" s="22" t="s">
        <v>59</v>
      </c>
      <c r="B92" s="22" t="s">
        <v>92</v>
      </c>
      <c r="C92" s="22" t="s">
        <v>9</v>
      </c>
      <c r="D92" s="22" t="s">
        <v>25</v>
      </c>
    </row>
    <row r="93" spans="1:4" x14ac:dyDescent="0.25">
      <c r="A93" s="5" t="s">
        <v>10</v>
      </c>
      <c r="B93" s="1" t="s">
        <v>80</v>
      </c>
      <c r="C93" s="8">
        <f>$C$19*D93</f>
        <v>161.03654802875695</v>
      </c>
      <c r="D93" s="29">
        <f>(5/56)</f>
        <v>8.9285714285714288E-2</v>
      </c>
    </row>
    <row r="94" spans="1:4" x14ac:dyDescent="0.25">
      <c r="A94" s="5" t="s">
        <v>11</v>
      </c>
      <c r="B94" s="1" t="s">
        <v>83</v>
      </c>
      <c r="C94" s="8">
        <f t="shared" ref="C94:C98" si="1">$C$19*D94</f>
        <v>29.859754594487736</v>
      </c>
      <c r="D94" s="29">
        <f>(5.96/30)/12</f>
        <v>1.6555555555555556E-2</v>
      </c>
    </row>
    <row r="95" spans="1:4" x14ac:dyDescent="0.25">
      <c r="A95" s="5" t="s">
        <v>12</v>
      </c>
      <c r="B95" s="1" t="s">
        <v>85</v>
      </c>
      <c r="C95" s="8">
        <f t="shared" si="1"/>
        <v>0.37575194540043289</v>
      </c>
      <c r="D95" s="29">
        <f>((5/30)/12)*0.015</f>
        <v>2.0833333333333332E-4</v>
      </c>
    </row>
    <row r="96" spans="1:4" ht="17.25" x14ac:dyDescent="0.25">
      <c r="A96" s="5" t="s">
        <v>13</v>
      </c>
      <c r="B96" s="1" t="s">
        <v>87</v>
      </c>
      <c r="C96" s="8">
        <f t="shared" si="1"/>
        <v>5.0100259386724391</v>
      </c>
      <c r="D96" s="29">
        <f>(1/30)/12</f>
        <v>2.7777777777777779E-3</v>
      </c>
    </row>
    <row r="97" spans="1:6" ht="17.25" x14ac:dyDescent="0.25">
      <c r="A97" s="5" t="s">
        <v>14</v>
      </c>
      <c r="B97" s="1" t="s">
        <v>89</v>
      </c>
      <c r="C97" s="8">
        <f t="shared" si="1"/>
        <v>0.58617303482467531</v>
      </c>
      <c r="D97" s="29">
        <f>((15/30)/12)*0.0078</f>
        <v>3.2499999999999999E-4</v>
      </c>
    </row>
    <row r="98" spans="1:6" ht="17.25" x14ac:dyDescent="0.25">
      <c r="A98" s="5" t="s">
        <v>15</v>
      </c>
      <c r="B98" s="1" t="s">
        <v>90</v>
      </c>
      <c r="C98" s="8">
        <f t="shared" si="1"/>
        <v>5.0100259386724391</v>
      </c>
      <c r="D98" s="29">
        <f>(1/30)/12</f>
        <v>2.7777777777777779E-3</v>
      </c>
    </row>
    <row r="99" spans="1:6" x14ac:dyDescent="0.25">
      <c r="A99" s="91" t="s">
        <v>61</v>
      </c>
      <c r="B99" s="91"/>
      <c r="C99" s="24">
        <f>SUM(C93:C98)</f>
        <v>201.87827948081465</v>
      </c>
      <c r="D99" s="29"/>
    </row>
    <row r="100" spans="1:6" x14ac:dyDescent="0.25">
      <c r="A100" s="5" t="s">
        <v>16</v>
      </c>
      <c r="B100" s="20" t="s">
        <v>66</v>
      </c>
      <c r="C100" s="8">
        <f>$C$99*$D$100</f>
        <v>44.682392525086982</v>
      </c>
      <c r="D100" s="29">
        <f>$D$50</f>
        <v>0.22133333333333335</v>
      </c>
    </row>
    <row r="101" spans="1:6" x14ac:dyDescent="0.25">
      <c r="A101" s="78" t="s">
        <v>27</v>
      </c>
      <c r="B101" s="78"/>
      <c r="C101" s="34">
        <f>SUM(C99:C100)</f>
        <v>246.56067200590164</v>
      </c>
    </row>
    <row r="102" spans="1:6" x14ac:dyDescent="0.25">
      <c r="A102" s="98" t="s">
        <v>81</v>
      </c>
      <c r="B102" s="99"/>
      <c r="C102" s="100"/>
    </row>
    <row r="103" spans="1:6" x14ac:dyDescent="0.25">
      <c r="A103" s="64"/>
      <c r="B103" s="65"/>
      <c r="C103" s="66"/>
    </row>
    <row r="104" spans="1:6" ht="15" customHeight="1" x14ac:dyDescent="0.25">
      <c r="A104" s="64" t="s">
        <v>82</v>
      </c>
      <c r="B104" s="65"/>
      <c r="C104" s="66"/>
      <c r="D104" s="30"/>
    </row>
    <row r="105" spans="1:6" x14ac:dyDescent="0.25">
      <c r="A105" s="64"/>
      <c r="B105" s="65"/>
      <c r="C105" s="66"/>
      <c r="D105" s="30"/>
    </row>
    <row r="106" spans="1:6" x14ac:dyDescent="0.25">
      <c r="A106" s="64"/>
      <c r="B106" s="65"/>
      <c r="C106" s="66"/>
      <c r="D106" s="30"/>
    </row>
    <row r="107" spans="1:6" ht="15" customHeight="1" x14ac:dyDescent="0.25">
      <c r="A107" s="75" t="s">
        <v>84</v>
      </c>
      <c r="B107" s="76"/>
      <c r="C107" s="77"/>
      <c r="D107" s="18"/>
    </row>
    <row r="108" spans="1:6" x14ac:dyDescent="0.25">
      <c r="A108" s="75"/>
      <c r="B108" s="76"/>
      <c r="C108" s="77"/>
      <c r="D108" s="18"/>
    </row>
    <row r="109" spans="1:6" x14ac:dyDescent="0.25">
      <c r="A109" s="75"/>
      <c r="B109" s="76"/>
      <c r="C109" s="77"/>
      <c r="D109" s="18"/>
    </row>
    <row r="110" spans="1:6" x14ac:dyDescent="0.25">
      <c r="A110" s="75"/>
      <c r="B110" s="76"/>
      <c r="C110" s="77"/>
      <c r="D110" s="18"/>
    </row>
    <row r="111" spans="1:6" ht="15" customHeight="1" x14ac:dyDescent="0.25">
      <c r="A111" s="95" t="s">
        <v>86</v>
      </c>
      <c r="B111" s="96"/>
      <c r="C111" s="97"/>
      <c r="D111" s="32"/>
      <c r="E111" s="31"/>
      <c r="F111" s="31"/>
    </row>
    <row r="112" spans="1:6" x14ac:dyDescent="0.25">
      <c r="A112" s="75" t="s">
        <v>88</v>
      </c>
      <c r="B112" s="76"/>
      <c r="C112" s="77"/>
    </row>
    <row r="113" spans="1:4" x14ac:dyDescent="0.25">
      <c r="A113" s="75"/>
      <c r="B113" s="76"/>
      <c r="C113" s="77"/>
    </row>
    <row r="114" spans="1:4" x14ac:dyDescent="0.25">
      <c r="A114" s="75"/>
      <c r="B114" s="76"/>
      <c r="C114" s="77"/>
    </row>
    <row r="115" spans="1:4" x14ac:dyDescent="0.25">
      <c r="A115" s="75"/>
      <c r="B115" s="76"/>
      <c r="C115" s="77"/>
    </row>
    <row r="116" spans="1:4" x14ac:dyDescent="0.25">
      <c r="A116" s="75"/>
      <c r="B116" s="76"/>
      <c r="C116" s="77"/>
    </row>
    <row r="117" spans="1:4" ht="17.25" x14ac:dyDescent="0.25">
      <c r="A117" s="92" t="s">
        <v>91</v>
      </c>
      <c r="B117" s="93"/>
      <c r="C117" s="94"/>
    </row>
    <row r="119" spans="1:4" x14ac:dyDescent="0.25">
      <c r="A119" s="78" t="s">
        <v>102</v>
      </c>
      <c r="B119" s="78"/>
      <c r="C119" s="22" t="s">
        <v>9</v>
      </c>
    </row>
    <row r="120" spans="1:4" x14ac:dyDescent="0.25">
      <c r="A120" s="5" t="s">
        <v>7</v>
      </c>
      <c r="B120" s="1" t="s">
        <v>44</v>
      </c>
      <c r="C120" s="8">
        <f>$C$50</f>
        <v>399.19886679341994</v>
      </c>
    </row>
    <row r="121" spans="1:4" x14ac:dyDescent="0.25">
      <c r="A121" s="5" t="s">
        <v>28</v>
      </c>
      <c r="B121" s="1" t="s">
        <v>60</v>
      </c>
      <c r="C121" s="8">
        <f>$C$63</f>
        <v>262.23907198994021</v>
      </c>
    </row>
    <row r="122" spans="1:4" x14ac:dyDescent="0.25">
      <c r="A122" s="5" t="s">
        <v>38</v>
      </c>
      <c r="B122" s="1" t="s">
        <v>65</v>
      </c>
      <c r="C122" s="8">
        <f>$C$71</f>
        <v>1.057347938263439</v>
      </c>
    </row>
    <row r="123" spans="1:4" x14ac:dyDescent="0.25">
      <c r="A123" s="5" t="s">
        <v>45</v>
      </c>
      <c r="B123" s="1" t="s">
        <v>69</v>
      </c>
      <c r="C123" s="8">
        <f>$C$83</f>
        <v>9.3278499935714301</v>
      </c>
    </row>
    <row r="124" spans="1:4" x14ac:dyDescent="0.25">
      <c r="A124" s="5" t="s">
        <v>59</v>
      </c>
      <c r="B124" s="1" t="s">
        <v>92</v>
      </c>
      <c r="C124" s="8">
        <f>$C$101</f>
        <v>246.56067200590164</v>
      </c>
    </row>
    <row r="125" spans="1:4" x14ac:dyDescent="0.25">
      <c r="A125" s="78" t="s">
        <v>26</v>
      </c>
      <c r="B125" s="78"/>
      <c r="C125" s="23">
        <f>SUM(C120:C124)</f>
        <v>918.38380872109667</v>
      </c>
    </row>
    <row r="127" spans="1:4" x14ac:dyDescent="0.25">
      <c r="A127" s="71" t="s">
        <v>103</v>
      </c>
      <c r="B127" s="71"/>
      <c r="C127" s="71"/>
      <c r="D127" s="71"/>
    </row>
    <row r="128" spans="1:4" x14ac:dyDescent="0.25">
      <c r="A128" s="71" t="s">
        <v>95</v>
      </c>
      <c r="B128" s="71"/>
      <c r="C128" s="27" t="s">
        <v>9</v>
      </c>
      <c r="D128" s="27" t="s">
        <v>25</v>
      </c>
    </row>
    <row r="129" spans="1:6" x14ac:dyDescent="0.25">
      <c r="A129" s="5" t="s">
        <v>10</v>
      </c>
      <c r="B129" s="1" t="s">
        <v>97</v>
      </c>
      <c r="C129" s="2">
        <f>$C$152*D129</f>
        <v>100.34908839929523</v>
      </c>
      <c r="D129" s="40">
        <v>0.03</v>
      </c>
    </row>
    <row r="130" spans="1:6" x14ac:dyDescent="0.25">
      <c r="A130" s="5" t="s">
        <v>11</v>
      </c>
      <c r="B130" s="1" t="s">
        <v>96</v>
      </c>
      <c r="C130" s="2">
        <f>($C$152+$C$129)*D130</f>
        <v>233.93713984605037</v>
      </c>
      <c r="D130" s="41">
        <v>6.7900000000000002E-2</v>
      </c>
      <c r="F130" s="7"/>
    </row>
    <row r="131" spans="1:6" x14ac:dyDescent="0.25">
      <c r="A131" s="62" t="s">
        <v>61</v>
      </c>
      <c r="B131" s="63"/>
      <c r="C131" s="39">
        <f>C129+C130</f>
        <v>334.28622824534557</v>
      </c>
      <c r="D131" s="45">
        <f>SUM(D129:D130)</f>
        <v>9.7900000000000001E-2</v>
      </c>
    </row>
    <row r="132" spans="1:6" x14ac:dyDescent="0.25">
      <c r="A132" s="5" t="s">
        <v>7</v>
      </c>
      <c r="B132" s="38" t="s">
        <v>104</v>
      </c>
      <c r="C132" s="44">
        <f>($C$152+$C$131)*D132</f>
        <v>91.981396038879666</v>
      </c>
      <c r="D132" s="29">
        <v>2.5000000000000001E-2</v>
      </c>
    </row>
    <row r="133" spans="1:6" x14ac:dyDescent="0.25">
      <c r="A133" s="5" t="s">
        <v>28</v>
      </c>
      <c r="B133" s="38" t="s">
        <v>105</v>
      </c>
      <c r="C133" s="44">
        <f>($C$152+$C$131)*D133</f>
        <v>110.3776752466556</v>
      </c>
      <c r="D133" s="29">
        <v>0.03</v>
      </c>
    </row>
    <row r="134" spans="1:6" x14ac:dyDescent="0.25">
      <c r="A134" s="5" t="s">
        <v>38</v>
      </c>
      <c r="B134" s="38" t="s">
        <v>106</v>
      </c>
      <c r="C134" s="44">
        <f>($C$152+$C$131)*D134</f>
        <v>23.91516297010871</v>
      </c>
      <c r="D134" s="29">
        <v>6.4999999999999997E-3</v>
      </c>
    </row>
    <row r="135" spans="1:6" x14ac:dyDescent="0.25">
      <c r="A135" s="5" t="s">
        <v>45</v>
      </c>
      <c r="B135" s="38" t="s">
        <v>108</v>
      </c>
      <c r="C135" s="44">
        <f>($C$152+$C$131)*D135</f>
        <v>36.792558415551866</v>
      </c>
      <c r="D135" s="29">
        <v>0.01</v>
      </c>
    </row>
    <row r="136" spans="1:6" x14ac:dyDescent="0.25">
      <c r="A136" s="5" t="s">
        <v>59</v>
      </c>
      <c r="B136" s="38" t="s">
        <v>109</v>
      </c>
      <c r="C136" s="44">
        <f>($C$152+$C$131)*D136</f>
        <v>36.792558415551866</v>
      </c>
      <c r="D136" s="29">
        <v>0.01</v>
      </c>
    </row>
    <row r="137" spans="1:6" x14ac:dyDescent="0.25">
      <c r="A137" s="5" t="s">
        <v>12</v>
      </c>
      <c r="B137" s="19" t="s">
        <v>110</v>
      </c>
      <c r="C137" s="39">
        <f>SUM(C132:C136)</f>
        <v>299.85935108674772</v>
      </c>
      <c r="D137" s="45">
        <f>SUM(D132:D136)</f>
        <v>8.1499999999999989E-2</v>
      </c>
    </row>
    <row r="138" spans="1:6" x14ac:dyDescent="0.25">
      <c r="A138" s="70" t="s">
        <v>26</v>
      </c>
      <c r="B138" s="70"/>
      <c r="C138" s="37">
        <f>C131+C137</f>
        <v>634.14557933209335</v>
      </c>
      <c r="D138" s="46">
        <f>D131+D137</f>
        <v>0.1794</v>
      </c>
    </row>
    <row r="139" spans="1:6" x14ac:dyDescent="0.25">
      <c r="A139" s="72" t="s">
        <v>98</v>
      </c>
      <c r="B139" s="73"/>
      <c r="C139" s="74"/>
    </row>
    <row r="140" spans="1:6" x14ac:dyDescent="0.25">
      <c r="A140" s="75"/>
      <c r="B140" s="76"/>
      <c r="C140" s="77"/>
    </row>
    <row r="141" spans="1:6" ht="15" customHeight="1" x14ac:dyDescent="0.25">
      <c r="A141" s="64" t="s">
        <v>107</v>
      </c>
      <c r="B141" s="65"/>
      <c r="C141" s="66"/>
    </row>
    <row r="142" spans="1:6" x14ac:dyDescent="0.25">
      <c r="A142" s="64"/>
      <c r="B142" s="65"/>
      <c r="C142" s="66"/>
    </row>
    <row r="143" spans="1:6" x14ac:dyDescent="0.25">
      <c r="A143" s="64"/>
      <c r="B143" s="65"/>
      <c r="C143" s="66"/>
    </row>
    <row r="144" spans="1:6" x14ac:dyDescent="0.25">
      <c r="A144" s="67"/>
      <c r="B144" s="68"/>
      <c r="C144" s="69"/>
    </row>
    <row r="147" spans="1:3" x14ac:dyDescent="0.25">
      <c r="B147" s="59" t="s">
        <v>111</v>
      </c>
      <c r="C147" s="60"/>
    </row>
    <row r="148" spans="1:3" x14ac:dyDescent="0.25">
      <c r="A148" s="42"/>
      <c r="B148" s="47" t="s">
        <v>112</v>
      </c>
      <c r="C148" s="2">
        <f>$C$19</f>
        <v>1803.6093379220779</v>
      </c>
    </row>
    <row r="149" spans="1:3" x14ac:dyDescent="0.25">
      <c r="A149" s="42"/>
      <c r="B149" s="47" t="s">
        <v>113</v>
      </c>
      <c r="C149" s="2">
        <f>$C$29</f>
        <v>602.3098</v>
      </c>
    </row>
    <row r="150" spans="1:3" x14ac:dyDescent="0.25">
      <c r="A150" s="42"/>
      <c r="B150" s="47" t="s">
        <v>114</v>
      </c>
      <c r="C150" s="2">
        <f>$C$37</f>
        <v>20.666666666666668</v>
      </c>
    </row>
    <row r="151" spans="1:3" x14ac:dyDescent="0.25">
      <c r="A151" s="42"/>
      <c r="B151" s="47" t="s">
        <v>115</v>
      </c>
      <c r="C151" s="2">
        <f>$C$125</f>
        <v>918.38380872109667</v>
      </c>
    </row>
    <row r="152" spans="1:3" x14ac:dyDescent="0.25">
      <c r="B152" s="48" t="s">
        <v>117</v>
      </c>
      <c r="C152" s="24">
        <f>SUM(C148:C151)</f>
        <v>3344.969613309841</v>
      </c>
    </row>
    <row r="153" spans="1:3" x14ac:dyDescent="0.25">
      <c r="B153" s="47" t="s">
        <v>118</v>
      </c>
      <c r="C153" s="8">
        <f>$C$138</f>
        <v>634.14557933209335</v>
      </c>
    </row>
    <row r="154" spans="1:3" x14ac:dyDescent="0.25">
      <c r="B154" s="43" t="s">
        <v>119</v>
      </c>
      <c r="C154" s="49">
        <f>C152+C153</f>
        <v>3979.1151926419343</v>
      </c>
    </row>
  </sheetData>
  <mergeCells count="41">
    <mergeCell ref="A131:B131"/>
    <mergeCell ref="A138:B138"/>
    <mergeCell ref="A139:C140"/>
    <mergeCell ref="A141:C144"/>
    <mergeCell ref="B147:C147"/>
    <mergeCell ref="A128:B128"/>
    <mergeCell ref="A99:B99"/>
    <mergeCell ref="A101:B101"/>
    <mergeCell ref="A102:C103"/>
    <mergeCell ref="A104:C106"/>
    <mergeCell ref="A107:C110"/>
    <mergeCell ref="A111:C111"/>
    <mergeCell ref="A112:C116"/>
    <mergeCell ref="A117:C117"/>
    <mergeCell ref="A119:B119"/>
    <mergeCell ref="A125:B125"/>
    <mergeCell ref="A127:D127"/>
    <mergeCell ref="A88:C90"/>
    <mergeCell ref="A54:C54"/>
    <mergeCell ref="A55:C55"/>
    <mergeCell ref="A56:C56"/>
    <mergeCell ref="A61:B61"/>
    <mergeCell ref="A63:B63"/>
    <mergeCell ref="A64:C66"/>
    <mergeCell ref="A71:B71"/>
    <mergeCell ref="A72:C74"/>
    <mergeCell ref="A83:B83"/>
    <mergeCell ref="A84:C85"/>
    <mergeCell ref="A86:C87"/>
    <mergeCell ref="A53:C53"/>
    <mergeCell ref="A9:D9"/>
    <mergeCell ref="A19:B19"/>
    <mergeCell ref="A21:F21"/>
    <mergeCell ref="A29:B29"/>
    <mergeCell ref="A31:C31"/>
    <mergeCell ref="A37:B37"/>
    <mergeCell ref="A38:C38"/>
    <mergeCell ref="A40:D40"/>
    <mergeCell ref="A50:B50"/>
    <mergeCell ref="A51:C51"/>
    <mergeCell ref="A52:C52"/>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55"/>
  <sheetViews>
    <sheetView zoomScale="90" zoomScaleNormal="90" workbookViewId="0">
      <selection activeCell="E150" sqref="E150"/>
    </sheetView>
  </sheetViews>
  <sheetFormatPr defaultRowHeight="15" x14ac:dyDescent="0.25"/>
  <cols>
    <col min="2" max="2" width="54.140625" customWidth="1"/>
    <col min="3" max="3" width="27.7109375" customWidth="1"/>
    <col min="5" max="5" width="13.5703125" bestFit="1" customWidth="1"/>
    <col min="6" max="6" width="13.85546875" bestFit="1" customWidth="1"/>
    <col min="7" max="7" width="19.42578125" hidden="1" customWidth="1"/>
    <col min="8" max="8" width="17.28515625" hidden="1" customWidth="1"/>
    <col min="9" max="9" width="20.5703125" hidden="1" customWidth="1"/>
    <col min="10" max="10" width="20" hidden="1" customWidth="1"/>
    <col min="11" max="11" width="10.5703125" hidden="1" customWidth="1"/>
    <col min="12" max="12" width="16.42578125" hidden="1" customWidth="1"/>
    <col min="13" max="13" width="10.85546875" hidden="1" customWidth="1"/>
    <col min="14" max="14" width="0" hidden="1" customWidth="1"/>
    <col min="15" max="15" width="40.28515625" hidden="1" customWidth="1"/>
    <col min="16" max="16" width="10" hidden="1" customWidth="1"/>
    <col min="17" max="17" width="0" hidden="1" customWidth="1"/>
  </cols>
  <sheetData>
    <row r="2" spans="1:18" x14ac:dyDescent="0.25">
      <c r="B2" s="1" t="s">
        <v>0</v>
      </c>
      <c r="C2" s="5" t="s">
        <v>126</v>
      </c>
    </row>
    <row r="3" spans="1:18" x14ac:dyDescent="0.25">
      <c r="B3" s="1" t="s">
        <v>1</v>
      </c>
      <c r="C3" s="2">
        <v>1305.17</v>
      </c>
    </row>
    <row r="4" spans="1:18" x14ac:dyDescent="0.25">
      <c r="B4" s="1" t="s">
        <v>2</v>
      </c>
      <c r="C4" s="5" t="s">
        <v>122</v>
      </c>
    </row>
    <row r="5" spans="1:18" x14ac:dyDescent="0.25">
      <c r="B5" s="3" t="s">
        <v>4</v>
      </c>
      <c r="C5" s="5" t="s">
        <v>5</v>
      </c>
    </row>
    <row r="6" spans="1:18" x14ac:dyDescent="0.25">
      <c r="B6" s="3" t="s">
        <v>120</v>
      </c>
      <c r="C6" s="1" t="s">
        <v>6</v>
      </c>
    </row>
    <row r="7" spans="1:18" x14ac:dyDescent="0.25">
      <c r="B7" s="1" t="s">
        <v>3</v>
      </c>
      <c r="C7" s="4">
        <v>43466</v>
      </c>
    </row>
    <row r="9" spans="1:18" x14ac:dyDescent="0.25">
      <c r="A9" s="89" t="s">
        <v>99</v>
      </c>
      <c r="B9" s="89"/>
      <c r="C9" s="89"/>
      <c r="D9" s="89"/>
    </row>
    <row r="10" spans="1:18" x14ac:dyDescent="0.25">
      <c r="A10" s="9" t="s">
        <v>7</v>
      </c>
      <c r="B10" s="9" t="s">
        <v>8</v>
      </c>
      <c r="C10" s="9" t="s">
        <v>9</v>
      </c>
      <c r="D10" s="9" t="s">
        <v>25</v>
      </c>
      <c r="G10" s="9" t="s">
        <v>129</v>
      </c>
      <c r="H10" s="9" t="s">
        <v>127</v>
      </c>
      <c r="I10" s="9" t="s">
        <v>124</v>
      </c>
      <c r="J10" s="9" t="s">
        <v>130</v>
      </c>
      <c r="K10" s="9" t="s">
        <v>125</v>
      </c>
      <c r="L10" s="9" t="s">
        <v>128</v>
      </c>
      <c r="M10" s="113" t="s">
        <v>138</v>
      </c>
      <c r="O10" s="1" t="s">
        <v>21</v>
      </c>
      <c r="P10" s="2">
        <f>L11*J11</f>
        <v>5.2969561688311657</v>
      </c>
      <c r="Q10" s="54">
        <v>0.2</v>
      </c>
    </row>
    <row r="11" spans="1:18" x14ac:dyDescent="0.25">
      <c r="A11" s="5" t="s">
        <v>10</v>
      </c>
      <c r="B11" s="1" t="s">
        <v>136</v>
      </c>
      <c r="C11" s="2">
        <f>$C$3</f>
        <v>1305.17</v>
      </c>
      <c r="D11" s="1"/>
      <c r="G11" s="52">
        <f>60/52.5</f>
        <v>1.1428571428571428</v>
      </c>
      <c r="H11" s="5">
        <f>(50/60)</f>
        <v>0.83333333333333337</v>
      </c>
      <c r="I11" s="5">
        <f>(H11*G11)-H11</f>
        <v>0.11904761904761896</v>
      </c>
      <c r="J11" s="1">
        <f>I11*K13</f>
        <v>0.59523809523809479</v>
      </c>
      <c r="K11" s="8">
        <f>$C$11/220</f>
        <v>5.9325909090909095</v>
      </c>
      <c r="L11" s="8">
        <f>K11*1.5</f>
        <v>8.8988863636363646</v>
      </c>
      <c r="M11" s="113"/>
      <c r="O11" s="1" t="s">
        <v>22</v>
      </c>
      <c r="P11" s="2">
        <f>L13*J13</f>
        <v>4.9438257575757589</v>
      </c>
      <c r="Q11" s="55"/>
    </row>
    <row r="12" spans="1:18" x14ac:dyDescent="0.25">
      <c r="A12" s="5" t="s">
        <v>11</v>
      </c>
      <c r="B12" s="1" t="s">
        <v>137</v>
      </c>
      <c r="C12" s="2">
        <f>(120/220)*C11</f>
        <v>711.91090909090906</v>
      </c>
      <c r="D12" s="1"/>
      <c r="G12" s="56"/>
      <c r="H12" s="57"/>
      <c r="I12" s="9" t="s">
        <v>133</v>
      </c>
      <c r="J12" s="9" t="s">
        <v>132</v>
      </c>
      <c r="K12" s="9" t="s">
        <v>134</v>
      </c>
      <c r="L12" s="9" t="s">
        <v>131</v>
      </c>
      <c r="M12" s="113"/>
      <c r="O12" s="1" t="s">
        <v>135</v>
      </c>
      <c r="P12" s="2">
        <f>(P10+P11)*Q12</f>
        <v>2.0481563852813851</v>
      </c>
      <c r="Q12" s="55">
        <v>0.2</v>
      </c>
    </row>
    <row r="13" spans="1:18" x14ac:dyDescent="0.25">
      <c r="A13" s="5" t="s">
        <v>12</v>
      </c>
      <c r="B13" s="1" t="s">
        <v>19</v>
      </c>
      <c r="C13" s="2">
        <v>0</v>
      </c>
      <c r="D13" s="1"/>
      <c r="I13" s="5">
        <f>50/60</f>
        <v>0.83333333333333337</v>
      </c>
      <c r="J13" s="5">
        <f>I13*K13</f>
        <v>4.166666666666667</v>
      </c>
      <c r="K13" s="5">
        <v>5</v>
      </c>
      <c r="L13" s="8">
        <f>K11*0.2</f>
        <v>1.186518181818182</v>
      </c>
      <c r="M13" s="113"/>
    </row>
    <row r="14" spans="1:18" x14ac:dyDescent="0.25">
      <c r="A14" s="5" t="s">
        <v>13</v>
      </c>
      <c r="B14" s="1" t="s">
        <v>20</v>
      </c>
      <c r="C14" s="2">
        <f>$C$11*$D$14</f>
        <v>0</v>
      </c>
      <c r="D14" s="16"/>
    </row>
    <row r="15" spans="1:18" x14ac:dyDescent="0.25">
      <c r="A15" s="5" t="s">
        <v>14</v>
      </c>
      <c r="B15" s="1" t="s">
        <v>21</v>
      </c>
      <c r="C15" s="2">
        <f>P10+P15</f>
        <v>46.613214285714257</v>
      </c>
      <c r="D15" s="54">
        <v>0.2</v>
      </c>
      <c r="G15" s="9" t="s">
        <v>129</v>
      </c>
      <c r="H15" s="9" t="s">
        <v>127</v>
      </c>
      <c r="I15" s="9" t="s">
        <v>124</v>
      </c>
      <c r="J15" s="9" t="s">
        <v>130</v>
      </c>
      <c r="K15" s="9" t="s">
        <v>125</v>
      </c>
      <c r="L15" s="9" t="s">
        <v>128</v>
      </c>
      <c r="M15" s="113" t="s">
        <v>139</v>
      </c>
      <c r="O15" s="1" t="s">
        <v>21</v>
      </c>
      <c r="P15" s="2">
        <f>L16*J16</f>
        <v>41.316258116883091</v>
      </c>
      <c r="Q15" s="54">
        <v>0.2</v>
      </c>
    </row>
    <row r="16" spans="1:18" x14ac:dyDescent="0.25">
      <c r="A16" s="5" t="s">
        <v>15</v>
      </c>
      <c r="B16" s="1" t="s">
        <v>22</v>
      </c>
      <c r="C16" s="2">
        <f>P11+P16</f>
        <v>43.505666666666677</v>
      </c>
      <c r="D16" s="55"/>
      <c r="G16" s="52">
        <f>60/52.5</f>
        <v>1.1428571428571428</v>
      </c>
      <c r="H16" s="5">
        <v>6.5</v>
      </c>
      <c r="I16" s="5">
        <f>(H16*G16)-H16</f>
        <v>0.92857142857142794</v>
      </c>
      <c r="J16" s="1">
        <f>I16*K18</f>
        <v>4.6428571428571397</v>
      </c>
      <c r="K16" s="8">
        <f>$C$11/220</f>
        <v>5.9325909090909095</v>
      </c>
      <c r="L16" s="8">
        <f>K16*1.5</f>
        <v>8.8988863636363646</v>
      </c>
      <c r="M16" s="113"/>
      <c r="O16" s="1" t="s">
        <v>22</v>
      </c>
      <c r="P16" s="2">
        <f>L18*J18</f>
        <v>38.561840909090918</v>
      </c>
      <c r="Q16" s="55"/>
      <c r="R16" s="51"/>
    </row>
    <row r="17" spans="1:18" x14ac:dyDescent="0.25">
      <c r="A17" s="5" t="s">
        <v>16</v>
      </c>
      <c r="B17" s="1" t="s">
        <v>135</v>
      </c>
      <c r="C17" s="2">
        <f>P12+P17</f>
        <v>18.023776190476188</v>
      </c>
      <c r="D17" s="55">
        <v>0.2</v>
      </c>
      <c r="G17" s="56"/>
      <c r="H17" s="57"/>
      <c r="I17" s="9" t="s">
        <v>133</v>
      </c>
      <c r="J17" s="9" t="s">
        <v>132</v>
      </c>
      <c r="K17" s="9" t="s">
        <v>134</v>
      </c>
      <c r="L17" s="9" t="s">
        <v>131</v>
      </c>
      <c r="M17" s="113"/>
      <c r="O17" s="1" t="s">
        <v>135</v>
      </c>
      <c r="P17" s="2">
        <f>(P15+P16)*Q17</f>
        <v>15.975619805194803</v>
      </c>
      <c r="Q17" s="55">
        <v>0.2</v>
      </c>
      <c r="R17" s="51"/>
    </row>
    <row r="18" spans="1:18" x14ac:dyDescent="0.25">
      <c r="A18" s="58" t="s">
        <v>17</v>
      </c>
      <c r="B18" s="1" t="s">
        <v>23</v>
      </c>
      <c r="C18" s="2">
        <v>0</v>
      </c>
      <c r="D18" s="1"/>
      <c r="I18" s="5">
        <v>6.5</v>
      </c>
      <c r="J18" s="5">
        <f>I18*K18</f>
        <v>32.5</v>
      </c>
      <c r="K18" s="5">
        <v>5</v>
      </c>
      <c r="L18" s="8">
        <f>K16*0.2</f>
        <v>1.186518181818182</v>
      </c>
      <c r="M18" s="113"/>
    </row>
    <row r="19" spans="1:18" x14ac:dyDescent="0.25">
      <c r="A19" s="58" t="s">
        <v>7</v>
      </c>
      <c r="B19" s="1" t="s">
        <v>24</v>
      </c>
      <c r="C19" s="2">
        <v>0</v>
      </c>
      <c r="D19" s="1"/>
    </row>
    <row r="20" spans="1:18" x14ac:dyDescent="0.25">
      <c r="A20" s="89" t="s">
        <v>27</v>
      </c>
      <c r="B20" s="89"/>
      <c r="C20" s="11">
        <f>SUM(C12:C19)</f>
        <v>820.05356623376611</v>
      </c>
    </row>
    <row r="21" spans="1:18" x14ac:dyDescent="0.25">
      <c r="A21" s="12"/>
      <c r="B21" s="12"/>
      <c r="C21" s="12"/>
    </row>
    <row r="22" spans="1:18" x14ac:dyDescent="0.25">
      <c r="A22" s="61" t="s">
        <v>93</v>
      </c>
      <c r="B22" s="61"/>
      <c r="C22" s="61"/>
      <c r="D22" s="61"/>
      <c r="E22" s="61"/>
      <c r="F22" s="61"/>
    </row>
    <row r="23" spans="1:18" x14ac:dyDescent="0.25">
      <c r="A23" s="10" t="s">
        <v>28</v>
      </c>
      <c r="B23" s="10" t="s">
        <v>29</v>
      </c>
      <c r="C23" s="10" t="s">
        <v>9</v>
      </c>
      <c r="D23" s="10" t="s">
        <v>35</v>
      </c>
      <c r="E23" s="10" t="s">
        <v>36</v>
      </c>
      <c r="F23" s="10" t="s">
        <v>116</v>
      </c>
    </row>
    <row r="24" spans="1:18" x14ac:dyDescent="0.25">
      <c r="A24" s="5" t="s">
        <v>10</v>
      </c>
      <c r="B24" s="1" t="s">
        <v>30</v>
      </c>
      <c r="C24" s="2">
        <f>(D24*E24*2)-F24</f>
        <v>62.689800000000005</v>
      </c>
      <c r="D24" s="5">
        <v>15</v>
      </c>
      <c r="E24" s="2">
        <v>4.7</v>
      </c>
      <c r="F24" s="8">
        <f>6%*C11</f>
        <v>78.310199999999995</v>
      </c>
    </row>
    <row r="25" spans="1:18" x14ac:dyDescent="0.25">
      <c r="A25" s="5" t="s">
        <v>11</v>
      </c>
      <c r="B25" s="1" t="s">
        <v>31</v>
      </c>
      <c r="C25" s="2">
        <f>(D25*E25)-F25</f>
        <v>243</v>
      </c>
      <c r="D25" s="5">
        <v>15</v>
      </c>
      <c r="E25" s="2">
        <v>20</v>
      </c>
      <c r="F25" s="8">
        <f>19%*G25</f>
        <v>57</v>
      </c>
      <c r="G25" s="7">
        <f>(D25*E25)</f>
        <v>300</v>
      </c>
    </row>
    <row r="26" spans="1:18" x14ac:dyDescent="0.25">
      <c r="A26" s="5" t="s">
        <v>12</v>
      </c>
      <c r="B26" s="1" t="s">
        <v>33</v>
      </c>
      <c r="C26" s="2">
        <v>0</v>
      </c>
      <c r="D26" s="5"/>
      <c r="E26" s="1"/>
      <c r="F26" s="1"/>
    </row>
    <row r="27" spans="1:18" x14ac:dyDescent="0.25">
      <c r="A27" s="5" t="s">
        <v>13</v>
      </c>
      <c r="B27" s="1" t="s">
        <v>32</v>
      </c>
      <c r="C27" s="2">
        <v>0</v>
      </c>
      <c r="D27" s="5"/>
      <c r="E27" s="1"/>
      <c r="F27" s="1"/>
    </row>
    <row r="28" spans="1:18" x14ac:dyDescent="0.25">
      <c r="A28" s="5" t="s">
        <v>14</v>
      </c>
      <c r="B28" s="1" t="s">
        <v>34</v>
      </c>
      <c r="C28" s="2">
        <v>0</v>
      </c>
      <c r="D28" s="5"/>
      <c r="E28" s="1"/>
      <c r="F28" s="1"/>
    </row>
    <row r="29" spans="1:18" x14ac:dyDescent="0.25">
      <c r="A29" s="5" t="s">
        <v>15</v>
      </c>
      <c r="B29" s="1" t="s">
        <v>37</v>
      </c>
      <c r="C29" s="2">
        <v>15.02</v>
      </c>
      <c r="D29" s="5"/>
      <c r="E29" s="1"/>
      <c r="F29" s="1"/>
    </row>
    <row r="30" spans="1:18" x14ac:dyDescent="0.25">
      <c r="A30" s="61" t="s">
        <v>27</v>
      </c>
      <c r="B30" s="61"/>
      <c r="C30" s="13">
        <f>SUM(C24:C29)</f>
        <v>320.70979999999997</v>
      </c>
    </row>
    <row r="32" spans="1:18" x14ac:dyDescent="0.25">
      <c r="A32" s="90" t="s">
        <v>100</v>
      </c>
      <c r="B32" s="90"/>
      <c r="C32" s="90"/>
    </row>
    <row r="33" spans="1:4" x14ac:dyDescent="0.25">
      <c r="A33" s="15" t="s">
        <v>38</v>
      </c>
      <c r="B33" s="15" t="s">
        <v>39</v>
      </c>
      <c r="C33" s="15" t="s">
        <v>9</v>
      </c>
    </row>
    <row r="34" spans="1:4" x14ac:dyDescent="0.25">
      <c r="A34" s="5" t="s">
        <v>10</v>
      </c>
      <c r="B34" s="1" t="s">
        <v>42</v>
      </c>
      <c r="C34" s="2">
        <f>248/12</f>
        <v>20.666666666666668</v>
      </c>
    </row>
    <row r="35" spans="1:4" x14ac:dyDescent="0.25">
      <c r="A35" s="5" t="s">
        <v>11</v>
      </c>
      <c r="B35" s="1" t="s">
        <v>40</v>
      </c>
      <c r="C35" s="2">
        <v>0</v>
      </c>
    </row>
    <row r="36" spans="1:4" x14ac:dyDescent="0.25">
      <c r="A36" s="5" t="s">
        <v>12</v>
      </c>
      <c r="B36" s="1" t="s">
        <v>41</v>
      </c>
      <c r="C36" s="2">
        <v>0</v>
      </c>
    </row>
    <row r="37" spans="1:4" x14ac:dyDescent="0.25">
      <c r="A37" s="5" t="s">
        <v>13</v>
      </c>
      <c r="B37" s="1" t="s">
        <v>43</v>
      </c>
      <c r="C37" s="2">
        <v>0</v>
      </c>
    </row>
    <row r="38" spans="1:4" x14ac:dyDescent="0.25">
      <c r="A38" s="107" t="s">
        <v>27</v>
      </c>
      <c r="B38" s="107"/>
      <c r="C38" s="50">
        <f>SUM(C34:C37)</f>
        <v>20.666666666666668</v>
      </c>
    </row>
    <row r="39" spans="1:4" ht="30" customHeight="1" x14ac:dyDescent="0.25">
      <c r="A39" s="108" t="s">
        <v>121</v>
      </c>
      <c r="B39" s="108"/>
      <c r="C39" s="108"/>
    </row>
    <row r="41" spans="1:4" x14ac:dyDescent="0.25">
      <c r="A41" s="78" t="s">
        <v>101</v>
      </c>
      <c r="B41" s="78"/>
      <c r="C41" s="78"/>
      <c r="D41" s="78"/>
    </row>
    <row r="42" spans="1:4" x14ac:dyDescent="0.25">
      <c r="A42" s="22" t="s">
        <v>7</v>
      </c>
      <c r="B42" s="22" t="s">
        <v>44</v>
      </c>
      <c r="C42" s="22" t="s">
        <v>9</v>
      </c>
      <c r="D42" s="22" t="s">
        <v>25</v>
      </c>
    </row>
    <row r="43" spans="1:4" x14ac:dyDescent="0.25">
      <c r="A43" s="5" t="s">
        <v>10</v>
      </c>
      <c r="B43" s="1" t="s">
        <v>46</v>
      </c>
      <c r="C43" s="8">
        <f>$C$20*D43</f>
        <v>65.604285298701285</v>
      </c>
      <c r="D43" s="17">
        <v>0.08</v>
      </c>
    </row>
    <row r="44" spans="1:4" x14ac:dyDescent="0.25">
      <c r="A44" s="5" t="s">
        <v>11</v>
      </c>
      <c r="B44" s="1" t="s">
        <v>48</v>
      </c>
      <c r="C44" s="8">
        <f t="shared" ref="C44:C50" si="0">$C$20*D44</f>
        <v>12.300803493506491</v>
      </c>
      <c r="D44" s="17">
        <v>1.4999999999999999E-2</v>
      </c>
    </row>
    <row r="45" spans="1:4" x14ac:dyDescent="0.25">
      <c r="A45" s="5" t="s">
        <v>12</v>
      </c>
      <c r="B45" s="1" t="s">
        <v>50</v>
      </c>
      <c r="C45" s="8">
        <f t="shared" si="0"/>
        <v>8.2005356623376606</v>
      </c>
      <c r="D45" s="17">
        <v>0.01</v>
      </c>
    </row>
    <row r="46" spans="1:4" x14ac:dyDescent="0.25">
      <c r="A46" s="5" t="s">
        <v>13</v>
      </c>
      <c r="B46" s="1" t="s">
        <v>52</v>
      </c>
      <c r="C46" s="8">
        <f t="shared" si="0"/>
        <v>1.6401071324675323</v>
      </c>
      <c r="D46" s="17">
        <v>2E-3</v>
      </c>
    </row>
    <row r="47" spans="1:4" ht="17.25" x14ac:dyDescent="0.25">
      <c r="A47" s="5" t="s">
        <v>14</v>
      </c>
      <c r="B47" s="1" t="s">
        <v>54</v>
      </c>
      <c r="C47" s="8">
        <f t="shared" si="0"/>
        <v>20.501339155844153</v>
      </c>
      <c r="D47" s="17">
        <v>2.5000000000000001E-2</v>
      </c>
    </row>
    <row r="48" spans="1:4" x14ac:dyDescent="0.25">
      <c r="A48" s="5" t="s">
        <v>15</v>
      </c>
      <c r="B48" s="1" t="s">
        <v>47</v>
      </c>
      <c r="C48" s="8">
        <f t="shared" si="0"/>
        <v>65.604285298701285</v>
      </c>
      <c r="D48" s="17">
        <v>0.08</v>
      </c>
    </row>
    <row r="49" spans="1:4" ht="17.25" x14ac:dyDescent="0.25">
      <c r="A49" s="5" t="s">
        <v>16</v>
      </c>
      <c r="B49" s="1" t="s">
        <v>58</v>
      </c>
      <c r="C49" s="8">
        <f t="shared" si="0"/>
        <v>2.733511887445887</v>
      </c>
      <c r="D49" s="17">
        <f>((15/30)/12)*0.08</f>
        <v>3.3333333333333331E-3</v>
      </c>
    </row>
    <row r="50" spans="1:4" ht="17.25" x14ac:dyDescent="0.25">
      <c r="A50" s="5" t="s">
        <v>17</v>
      </c>
      <c r="B50" s="1" t="s">
        <v>56</v>
      </c>
      <c r="C50" s="8">
        <f t="shared" si="0"/>
        <v>4.9203213974025966</v>
      </c>
      <c r="D50" s="17">
        <v>6.0000000000000001E-3</v>
      </c>
    </row>
    <row r="51" spans="1:4" x14ac:dyDescent="0.25">
      <c r="A51" s="109" t="s">
        <v>27</v>
      </c>
      <c r="B51" s="109"/>
      <c r="C51" s="35">
        <f>SUM(C43:C50)</f>
        <v>181.50518932640691</v>
      </c>
      <c r="D51" s="36">
        <f>SUM(D43:D50)</f>
        <v>0.22133333333333335</v>
      </c>
    </row>
    <row r="52" spans="1:4" x14ac:dyDescent="0.25">
      <c r="A52" s="110" t="s">
        <v>49</v>
      </c>
      <c r="B52" s="111"/>
      <c r="C52" s="112"/>
    </row>
    <row r="53" spans="1:4" x14ac:dyDescent="0.25">
      <c r="A53" s="83" t="s">
        <v>51</v>
      </c>
      <c r="B53" s="84"/>
      <c r="C53" s="85"/>
    </row>
    <row r="54" spans="1:4" x14ac:dyDescent="0.25">
      <c r="A54" s="83" t="s">
        <v>53</v>
      </c>
      <c r="B54" s="84"/>
      <c r="C54" s="85"/>
    </row>
    <row r="55" spans="1:4" ht="30.75" customHeight="1" x14ac:dyDescent="0.25">
      <c r="A55" s="86" t="s">
        <v>55</v>
      </c>
      <c r="B55" s="87"/>
      <c r="C55" s="88"/>
    </row>
    <row r="56" spans="1:4" ht="17.25" x14ac:dyDescent="0.25">
      <c r="A56" s="104" t="s">
        <v>94</v>
      </c>
      <c r="B56" s="105"/>
      <c r="C56" s="106"/>
    </row>
    <row r="57" spans="1:4" ht="17.25" x14ac:dyDescent="0.25">
      <c r="A57" s="101" t="s">
        <v>57</v>
      </c>
      <c r="B57" s="102"/>
      <c r="C57" s="103"/>
    </row>
    <row r="58" spans="1:4" x14ac:dyDescent="0.25">
      <c r="A58" s="33"/>
      <c r="B58" s="33"/>
      <c r="C58" s="33"/>
    </row>
    <row r="59" spans="1:4" x14ac:dyDescent="0.25">
      <c r="A59" s="22" t="s">
        <v>28</v>
      </c>
      <c r="B59" s="22" t="s">
        <v>60</v>
      </c>
      <c r="C59" s="22" t="s">
        <v>9</v>
      </c>
      <c r="D59" s="22" t="s">
        <v>25</v>
      </c>
    </row>
    <row r="60" spans="1:4" x14ac:dyDescent="0.25">
      <c r="A60" s="5" t="s">
        <v>10</v>
      </c>
      <c r="B60" s="1" t="s">
        <v>62</v>
      </c>
      <c r="C60" s="8">
        <f>D60*$C$20</f>
        <v>73.219068413729119</v>
      </c>
      <c r="D60" s="17">
        <f>(5/56)</f>
        <v>8.9285714285714288E-2</v>
      </c>
    </row>
    <row r="61" spans="1:4" x14ac:dyDescent="0.25">
      <c r="A61" s="5" t="s">
        <v>11</v>
      </c>
      <c r="B61" s="1" t="s">
        <v>63</v>
      </c>
      <c r="C61" s="8">
        <f>D61*$C$20</f>
        <v>24.406356137909704</v>
      </c>
      <c r="D61" s="17">
        <f>(1/3)*(5/56)</f>
        <v>2.976190476190476E-2</v>
      </c>
    </row>
    <row r="62" spans="1:4" x14ac:dyDescent="0.25">
      <c r="A62" s="91" t="s">
        <v>61</v>
      </c>
      <c r="B62" s="91"/>
      <c r="C62" s="24">
        <f>SUM(C60:C61)</f>
        <v>97.625424551638815</v>
      </c>
    </row>
    <row r="63" spans="1:4" ht="15.75" customHeight="1" x14ac:dyDescent="0.25">
      <c r="A63" s="25" t="s">
        <v>12</v>
      </c>
      <c r="B63" s="20" t="s">
        <v>76</v>
      </c>
      <c r="C63" s="8">
        <f>$D$51*$C$62</f>
        <v>21.60776063409606</v>
      </c>
    </row>
    <row r="64" spans="1:4" x14ac:dyDescent="0.25">
      <c r="A64" s="78" t="s">
        <v>27</v>
      </c>
      <c r="B64" s="78"/>
      <c r="C64" s="23">
        <f>$C$62+$C$63</f>
        <v>119.23318518573487</v>
      </c>
    </row>
    <row r="65" spans="1:5" ht="15" customHeight="1" x14ac:dyDescent="0.25">
      <c r="A65" s="72" t="s">
        <v>64</v>
      </c>
      <c r="B65" s="73"/>
      <c r="C65" s="74"/>
    </row>
    <row r="66" spans="1:5" x14ac:dyDescent="0.25">
      <c r="A66" s="75"/>
      <c r="B66" s="76"/>
      <c r="C66" s="77"/>
    </row>
    <row r="67" spans="1:5" x14ac:dyDescent="0.25">
      <c r="A67" s="79"/>
      <c r="B67" s="80"/>
      <c r="C67" s="81"/>
    </row>
    <row r="69" spans="1:5" x14ac:dyDescent="0.25">
      <c r="A69" s="22" t="s">
        <v>38</v>
      </c>
      <c r="B69" s="22" t="s">
        <v>65</v>
      </c>
      <c r="C69" s="22" t="s">
        <v>9</v>
      </c>
    </row>
    <row r="70" spans="1:5" x14ac:dyDescent="0.25">
      <c r="A70" s="5" t="s">
        <v>10</v>
      </c>
      <c r="B70" s="1" t="s">
        <v>67</v>
      </c>
      <c r="C70" s="2">
        <f>(0.0144*0.1*(4/12))*$C$20</f>
        <v>0.39362571179220773</v>
      </c>
    </row>
    <row r="71" spans="1:5" x14ac:dyDescent="0.25">
      <c r="A71" s="5" t="s">
        <v>11</v>
      </c>
      <c r="B71" s="20" t="s">
        <v>66</v>
      </c>
      <c r="C71" s="2">
        <f>$C$70*$D$51</f>
        <v>8.7122490876675326E-2</v>
      </c>
    </row>
    <row r="72" spans="1:5" x14ac:dyDescent="0.25">
      <c r="A72" s="78" t="s">
        <v>27</v>
      </c>
      <c r="B72" s="78"/>
      <c r="C72" s="23">
        <f>SUM(C70:C71)</f>
        <v>0.48074820266888307</v>
      </c>
      <c r="E72" s="7"/>
    </row>
    <row r="73" spans="1:5" ht="15" customHeight="1" x14ac:dyDescent="0.25">
      <c r="A73" s="82" t="s">
        <v>68</v>
      </c>
      <c r="B73" s="82"/>
      <c r="C73" s="82"/>
    </row>
    <row r="74" spans="1:5" x14ac:dyDescent="0.25">
      <c r="A74" s="82"/>
      <c r="B74" s="82"/>
      <c r="C74" s="82"/>
    </row>
    <row r="75" spans="1:5" x14ac:dyDescent="0.25">
      <c r="A75" s="82"/>
      <c r="B75" s="82"/>
      <c r="C75" s="82"/>
    </row>
    <row r="76" spans="1:5" ht="18.75" x14ac:dyDescent="0.3">
      <c r="A76" s="28"/>
    </row>
    <row r="77" spans="1:5" x14ac:dyDescent="0.25">
      <c r="A77" s="22" t="s">
        <v>45</v>
      </c>
      <c r="B77" s="22" t="s">
        <v>69</v>
      </c>
      <c r="C77" s="22" t="s">
        <v>9</v>
      </c>
      <c r="D77" s="22" t="s">
        <v>25</v>
      </c>
    </row>
    <row r="78" spans="1:5" x14ac:dyDescent="0.25">
      <c r="A78" s="5" t="s">
        <v>10</v>
      </c>
      <c r="B78" s="1" t="s">
        <v>70</v>
      </c>
      <c r="C78" s="7">
        <f>D78*$C$20</f>
        <v>3.4168898593073589</v>
      </c>
      <c r="D78" s="29">
        <f>((1/12)*0.05)</f>
        <v>4.1666666666666666E-3</v>
      </c>
    </row>
    <row r="79" spans="1:5" x14ac:dyDescent="0.25">
      <c r="A79" s="5" t="s">
        <v>11</v>
      </c>
      <c r="B79" s="1" t="s">
        <v>74</v>
      </c>
      <c r="C79" s="8">
        <f>D79*$C$78</f>
        <v>0.27335118874458869</v>
      </c>
      <c r="D79" s="17">
        <v>0.08</v>
      </c>
    </row>
    <row r="80" spans="1:5" x14ac:dyDescent="0.25">
      <c r="A80" s="5" t="s">
        <v>12</v>
      </c>
      <c r="B80" s="1" t="s">
        <v>73</v>
      </c>
      <c r="C80" s="8">
        <f>$D$80*$C$78</f>
        <v>0.1486347088798701</v>
      </c>
      <c r="D80" s="29">
        <f>0.08*0.5*0.9*(1+(5/56)+(5/56)+((1/3)*(5/56)))</f>
        <v>4.3499999999999997E-2</v>
      </c>
    </row>
    <row r="81" spans="1:4" x14ac:dyDescent="0.25">
      <c r="A81" s="5" t="s">
        <v>13</v>
      </c>
      <c r="B81" s="1" t="s">
        <v>75</v>
      </c>
      <c r="C81" s="8">
        <f>$D$81*$C$20</f>
        <v>0.31890972020202019</v>
      </c>
      <c r="D81" s="17">
        <f>((7/30)/12)*0.02</f>
        <v>3.8888888888888892E-4</v>
      </c>
    </row>
    <row r="82" spans="1:4" x14ac:dyDescent="0.25">
      <c r="A82" s="5" t="s">
        <v>14</v>
      </c>
      <c r="B82" s="1" t="s">
        <v>77</v>
      </c>
      <c r="C82" s="8">
        <f>$D$82*$C$81</f>
        <v>7.0585351404713809E-2</v>
      </c>
      <c r="D82" s="17">
        <f>$D$51</f>
        <v>0.22133333333333335</v>
      </c>
    </row>
    <row r="83" spans="1:4" x14ac:dyDescent="0.25">
      <c r="A83" s="5" t="s">
        <v>15</v>
      </c>
      <c r="B83" s="1" t="s">
        <v>78</v>
      </c>
      <c r="C83" s="8">
        <f>$C$81*$D$83</f>
        <v>1.2756388808080808E-2</v>
      </c>
      <c r="D83" s="29">
        <f>0.08*0.5</f>
        <v>0.04</v>
      </c>
    </row>
    <row r="84" spans="1:4" x14ac:dyDescent="0.25">
      <c r="A84" s="78" t="s">
        <v>27</v>
      </c>
      <c r="B84" s="78"/>
      <c r="C84" s="23">
        <f>SUM(C78:C83)</f>
        <v>4.2411272173466319</v>
      </c>
    </row>
    <row r="85" spans="1:4" ht="15" customHeight="1" x14ac:dyDescent="0.25">
      <c r="A85" s="72" t="s">
        <v>71</v>
      </c>
      <c r="B85" s="73"/>
      <c r="C85" s="74"/>
      <c r="D85" s="18"/>
    </row>
    <row r="86" spans="1:4" x14ac:dyDescent="0.25">
      <c r="A86" s="75"/>
      <c r="B86" s="76"/>
      <c r="C86" s="77"/>
      <c r="D86" s="18"/>
    </row>
    <row r="87" spans="1:4" x14ac:dyDescent="0.25">
      <c r="A87" s="64" t="s">
        <v>72</v>
      </c>
      <c r="B87" s="65"/>
      <c r="C87" s="66"/>
    </row>
    <row r="88" spans="1:4" x14ac:dyDescent="0.25">
      <c r="A88" s="64"/>
      <c r="B88" s="65"/>
      <c r="C88" s="66"/>
    </row>
    <row r="89" spans="1:4" ht="15" customHeight="1" x14ac:dyDescent="0.25">
      <c r="A89" s="64" t="s">
        <v>79</v>
      </c>
      <c r="B89" s="65"/>
      <c r="C89" s="66"/>
    </row>
    <row r="90" spans="1:4" x14ac:dyDescent="0.25">
      <c r="A90" s="64"/>
      <c r="B90" s="65"/>
      <c r="C90" s="66"/>
    </row>
    <row r="91" spans="1:4" x14ac:dyDescent="0.25">
      <c r="A91" s="67"/>
      <c r="B91" s="68"/>
      <c r="C91" s="69"/>
    </row>
    <row r="93" spans="1:4" x14ac:dyDescent="0.25">
      <c r="A93" s="22" t="s">
        <v>59</v>
      </c>
      <c r="B93" s="22" t="s">
        <v>92</v>
      </c>
      <c r="C93" s="22" t="s">
        <v>9</v>
      </c>
      <c r="D93" s="22" t="s">
        <v>25</v>
      </c>
    </row>
    <row r="94" spans="1:4" x14ac:dyDescent="0.25">
      <c r="A94" s="5" t="s">
        <v>10</v>
      </c>
      <c r="B94" s="1" t="s">
        <v>80</v>
      </c>
      <c r="C94" s="8">
        <f>$C$20*D94</f>
        <v>73.219068413729119</v>
      </c>
      <c r="D94" s="29">
        <f>(5/56)</f>
        <v>8.9285714285714288E-2</v>
      </c>
    </row>
    <row r="95" spans="1:4" x14ac:dyDescent="0.25">
      <c r="A95" s="5" t="s">
        <v>11</v>
      </c>
      <c r="B95" s="1" t="s">
        <v>83</v>
      </c>
      <c r="C95" s="8">
        <f t="shared" ref="C95:C99" si="1">$C$20*D95</f>
        <v>13.576442374314572</v>
      </c>
      <c r="D95" s="29">
        <f>(5.96/30)/12</f>
        <v>1.6555555555555556E-2</v>
      </c>
    </row>
    <row r="96" spans="1:4" x14ac:dyDescent="0.25">
      <c r="A96" s="5" t="s">
        <v>12</v>
      </c>
      <c r="B96" s="1" t="s">
        <v>85</v>
      </c>
      <c r="C96" s="8">
        <f t="shared" si="1"/>
        <v>0.17084449296536794</v>
      </c>
      <c r="D96" s="29">
        <f>((5/30)/12)*0.015</f>
        <v>2.0833333333333332E-4</v>
      </c>
    </row>
    <row r="97" spans="1:6" ht="17.25" x14ac:dyDescent="0.25">
      <c r="A97" s="5" t="s">
        <v>13</v>
      </c>
      <c r="B97" s="1" t="s">
        <v>87</v>
      </c>
      <c r="C97" s="8">
        <f t="shared" si="1"/>
        <v>2.2779265728715727</v>
      </c>
      <c r="D97" s="29">
        <f>(1/30)/12</f>
        <v>2.7777777777777779E-3</v>
      </c>
    </row>
    <row r="98" spans="1:6" ht="17.25" x14ac:dyDescent="0.25">
      <c r="A98" s="5" t="s">
        <v>14</v>
      </c>
      <c r="B98" s="1" t="s">
        <v>89</v>
      </c>
      <c r="C98" s="8">
        <f t="shared" si="1"/>
        <v>0.26651740902597398</v>
      </c>
      <c r="D98" s="29">
        <f>((15/30)/12)*0.0078</f>
        <v>3.2499999999999999E-4</v>
      </c>
    </row>
    <row r="99" spans="1:6" ht="17.25" x14ac:dyDescent="0.25">
      <c r="A99" s="5" t="s">
        <v>15</v>
      </c>
      <c r="B99" s="1" t="s">
        <v>90</v>
      </c>
      <c r="C99" s="8">
        <f t="shared" si="1"/>
        <v>2.2779265728715727</v>
      </c>
      <c r="D99" s="29">
        <f>(1/30)/12</f>
        <v>2.7777777777777779E-3</v>
      </c>
    </row>
    <row r="100" spans="1:6" x14ac:dyDescent="0.25">
      <c r="A100" s="91" t="s">
        <v>61</v>
      </c>
      <c r="B100" s="91"/>
      <c r="C100" s="24">
        <f>SUM(C94:C99)</f>
        <v>91.788725835778195</v>
      </c>
      <c r="D100" s="29"/>
    </row>
    <row r="101" spans="1:6" x14ac:dyDescent="0.25">
      <c r="A101" s="5" t="s">
        <v>16</v>
      </c>
      <c r="B101" s="20" t="s">
        <v>66</v>
      </c>
      <c r="C101" s="8">
        <f>$C$100*$D$101</f>
        <v>20.315904651652243</v>
      </c>
      <c r="D101" s="29">
        <f>$D$51</f>
        <v>0.22133333333333335</v>
      </c>
    </row>
    <row r="102" spans="1:6" x14ac:dyDescent="0.25">
      <c r="A102" s="78" t="s">
        <v>27</v>
      </c>
      <c r="B102" s="78"/>
      <c r="C102" s="34">
        <f>SUM(C100:C101)</f>
        <v>112.10463048743044</v>
      </c>
    </row>
    <row r="103" spans="1:6" x14ac:dyDescent="0.25">
      <c r="A103" s="98" t="s">
        <v>81</v>
      </c>
      <c r="B103" s="99"/>
      <c r="C103" s="100"/>
    </row>
    <row r="104" spans="1:6" x14ac:dyDescent="0.25">
      <c r="A104" s="64"/>
      <c r="B104" s="65"/>
      <c r="C104" s="66"/>
    </row>
    <row r="105" spans="1:6" ht="15" customHeight="1" x14ac:dyDescent="0.25">
      <c r="A105" s="64" t="s">
        <v>82</v>
      </c>
      <c r="B105" s="65"/>
      <c r="C105" s="66"/>
      <c r="D105" s="30"/>
    </row>
    <row r="106" spans="1:6" x14ac:dyDescent="0.25">
      <c r="A106" s="64"/>
      <c r="B106" s="65"/>
      <c r="C106" s="66"/>
      <c r="D106" s="30"/>
    </row>
    <row r="107" spans="1:6" x14ac:dyDescent="0.25">
      <c r="A107" s="64"/>
      <c r="B107" s="65"/>
      <c r="C107" s="66"/>
      <c r="D107" s="30"/>
    </row>
    <row r="108" spans="1:6" ht="15" customHeight="1" x14ac:dyDescent="0.25">
      <c r="A108" s="75" t="s">
        <v>84</v>
      </c>
      <c r="B108" s="76"/>
      <c r="C108" s="77"/>
      <c r="D108" s="18"/>
    </row>
    <row r="109" spans="1:6" x14ac:dyDescent="0.25">
      <c r="A109" s="75"/>
      <c r="B109" s="76"/>
      <c r="C109" s="77"/>
      <c r="D109" s="18"/>
    </row>
    <row r="110" spans="1:6" x14ac:dyDescent="0.25">
      <c r="A110" s="75"/>
      <c r="B110" s="76"/>
      <c r="C110" s="77"/>
      <c r="D110" s="18"/>
    </row>
    <row r="111" spans="1:6" x14ac:dyDescent="0.25">
      <c r="A111" s="75"/>
      <c r="B111" s="76"/>
      <c r="C111" s="77"/>
      <c r="D111" s="18"/>
    </row>
    <row r="112" spans="1:6" ht="15" customHeight="1" x14ac:dyDescent="0.25">
      <c r="A112" s="95" t="s">
        <v>86</v>
      </c>
      <c r="B112" s="96"/>
      <c r="C112" s="97"/>
      <c r="D112" s="32"/>
      <c r="E112" s="31"/>
      <c r="F112" s="31"/>
    </row>
    <row r="113" spans="1:4" x14ac:dyDescent="0.25">
      <c r="A113" s="75" t="s">
        <v>88</v>
      </c>
      <c r="B113" s="76"/>
      <c r="C113" s="77"/>
    </row>
    <row r="114" spans="1:4" x14ac:dyDescent="0.25">
      <c r="A114" s="75"/>
      <c r="B114" s="76"/>
      <c r="C114" s="77"/>
    </row>
    <row r="115" spans="1:4" x14ac:dyDescent="0.25">
      <c r="A115" s="75"/>
      <c r="B115" s="76"/>
      <c r="C115" s="77"/>
    </row>
    <row r="116" spans="1:4" x14ac:dyDescent="0.25">
      <c r="A116" s="75"/>
      <c r="B116" s="76"/>
      <c r="C116" s="77"/>
    </row>
    <row r="117" spans="1:4" x14ac:dyDescent="0.25">
      <c r="A117" s="75"/>
      <c r="B117" s="76"/>
      <c r="C117" s="77"/>
    </row>
    <row r="118" spans="1:4" ht="17.25" x14ac:dyDescent="0.25">
      <c r="A118" s="92" t="s">
        <v>91</v>
      </c>
      <c r="B118" s="93"/>
      <c r="C118" s="94"/>
    </row>
    <row r="120" spans="1:4" x14ac:dyDescent="0.25">
      <c r="A120" s="78" t="s">
        <v>102</v>
      </c>
      <c r="B120" s="78"/>
      <c r="C120" s="22" t="s">
        <v>9</v>
      </c>
    </row>
    <row r="121" spans="1:4" x14ac:dyDescent="0.25">
      <c r="A121" s="5" t="s">
        <v>7</v>
      </c>
      <c r="B121" s="1" t="s">
        <v>44</v>
      </c>
      <c r="C121" s="8">
        <f>$C$51</f>
        <v>181.50518932640691</v>
      </c>
    </row>
    <row r="122" spans="1:4" x14ac:dyDescent="0.25">
      <c r="A122" s="5" t="s">
        <v>28</v>
      </c>
      <c r="B122" s="1" t="s">
        <v>60</v>
      </c>
      <c r="C122" s="8">
        <f>$C$64</f>
        <v>119.23318518573487</v>
      </c>
    </row>
    <row r="123" spans="1:4" x14ac:dyDescent="0.25">
      <c r="A123" s="5" t="s">
        <v>38</v>
      </c>
      <c r="B123" s="1" t="s">
        <v>65</v>
      </c>
      <c r="C123" s="8">
        <f>$C$72</f>
        <v>0.48074820266888307</v>
      </c>
    </row>
    <row r="124" spans="1:4" x14ac:dyDescent="0.25">
      <c r="A124" s="5" t="s">
        <v>45</v>
      </c>
      <c r="B124" s="1" t="s">
        <v>69</v>
      </c>
      <c r="C124" s="8">
        <f>$C$84</f>
        <v>4.2411272173466319</v>
      </c>
    </row>
    <row r="125" spans="1:4" x14ac:dyDescent="0.25">
      <c r="A125" s="5" t="s">
        <v>59</v>
      </c>
      <c r="B125" s="1" t="s">
        <v>92</v>
      </c>
      <c r="C125" s="8">
        <f>$C$102</f>
        <v>112.10463048743044</v>
      </c>
    </row>
    <row r="126" spans="1:4" x14ac:dyDescent="0.25">
      <c r="A126" s="78" t="s">
        <v>26</v>
      </c>
      <c r="B126" s="78"/>
      <c r="C126" s="23">
        <f>SUM(C121:C125)</f>
        <v>417.56488041958772</v>
      </c>
    </row>
    <row r="128" spans="1:4" x14ac:dyDescent="0.25">
      <c r="A128" s="71" t="s">
        <v>103</v>
      </c>
      <c r="B128" s="71"/>
      <c r="C128" s="71"/>
      <c r="D128" s="71"/>
    </row>
    <row r="129" spans="1:6" x14ac:dyDescent="0.25">
      <c r="A129" s="71" t="s">
        <v>95</v>
      </c>
      <c r="B129" s="71"/>
      <c r="C129" s="27" t="s">
        <v>9</v>
      </c>
      <c r="D129" s="27" t="s">
        <v>25</v>
      </c>
    </row>
    <row r="130" spans="1:6" x14ac:dyDescent="0.25">
      <c r="A130" s="5" t="s">
        <v>10</v>
      </c>
      <c r="B130" s="1" t="s">
        <v>97</v>
      </c>
      <c r="C130" s="2">
        <f>$C$153*D130</f>
        <v>47.369847399600623</v>
      </c>
      <c r="D130" s="40">
        <v>0.03</v>
      </c>
    </row>
    <row r="131" spans="1:6" x14ac:dyDescent="0.25">
      <c r="A131" s="5" t="s">
        <v>11</v>
      </c>
      <c r="B131" s="1" t="s">
        <v>96</v>
      </c>
      <c r="C131" s="2">
        <f>($C$153+$C$130)*D131</f>
        <v>110.43016725286229</v>
      </c>
      <c r="D131" s="41">
        <v>6.7900000000000002E-2</v>
      </c>
      <c r="F131" s="7"/>
    </row>
    <row r="132" spans="1:6" x14ac:dyDescent="0.25">
      <c r="A132" s="62" t="s">
        <v>61</v>
      </c>
      <c r="B132" s="63"/>
      <c r="C132" s="39">
        <f>C130+C131</f>
        <v>157.80001465246292</v>
      </c>
      <c r="D132" s="45">
        <f>SUM(D130:D131)</f>
        <v>9.7900000000000001E-2</v>
      </c>
    </row>
    <row r="133" spans="1:6" x14ac:dyDescent="0.25">
      <c r="A133" s="5" t="s">
        <v>7</v>
      </c>
      <c r="B133" s="38" t="s">
        <v>104</v>
      </c>
      <c r="C133" s="44">
        <f>($C$153+$C$132)*D133</f>
        <v>43.419873199312093</v>
      </c>
      <c r="D133" s="29">
        <v>2.5000000000000001E-2</v>
      </c>
    </row>
    <row r="134" spans="1:6" x14ac:dyDescent="0.25">
      <c r="A134" s="5" t="s">
        <v>28</v>
      </c>
      <c r="B134" s="38" t="s">
        <v>105</v>
      </c>
      <c r="C134" s="44">
        <f>($C$153+$C$132)*D134</f>
        <v>52.103847839174513</v>
      </c>
      <c r="D134" s="29">
        <v>0.03</v>
      </c>
    </row>
    <row r="135" spans="1:6" x14ac:dyDescent="0.25">
      <c r="A135" s="5" t="s">
        <v>38</v>
      </c>
      <c r="B135" s="38" t="s">
        <v>106</v>
      </c>
      <c r="C135" s="44">
        <f>($C$153+$C$132)*D135</f>
        <v>11.289167031821144</v>
      </c>
      <c r="D135" s="29">
        <v>6.4999999999999997E-3</v>
      </c>
    </row>
    <row r="136" spans="1:6" x14ac:dyDescent="0.25">
      <c r="A136" s="5" t="s">
        <v>45</v>
      </c>
      <c r="B136" s="38" t="s">
        <v>108</v>
      </c>
      <c r="C136" s="44">
        <f>($C$153+$C$132)*D136</f>
        <v>17.367949279724836</v>
      </c>
      <c r="D136" s="29">
        <v>0.01</v>
      </c>
    </row>
    <row r="137" spans="1:6" x14ac:dyDescent="0.25">
      <c r="A137" s="5" t="s">
        <v>59</v>
      </c>
      <c r="B137" s="38" t="s">
        <v>109</v>
      </c>
      <c r="C137" s="44">
        <f>($C$153+$C$132)*D137</f>
        <v>17.367949279724836</v>
      </c>
      <c r="D137" s="29">
        <v>0.01</v>
      </c>
    </row>
    <row r="138" spans="1:6" x14ac:dyDescent="0.25">
      <c r="A138" s="5" t="s">
        <v>12</v>
      </c>
      <c r="B138" s="19" t="s">
        <v>110</v>
      </c>
      <c r="C138" s="39">
        <f>SUM(C133:C137)</f>
        <v>141.54878662975742</v>
      </c>
      <c r="D138" s="45">
        <f>SUM(D133:D137)</f>
        <v>8.1499999999999989E-2</v>
      </c>
    </row>
    <row r="139" spans="1:6" x14ac:dyDescent="0.25">
      <c r="A139" s="70" t="s">
        <v>26</v>
      </c>
      <c r="B139" s="70"/>
      <c r="C139" s="37">
        <f>C132+C138</f>
        <v>299.34880128222034</v>
      </c>
      <c r="D139" s="46">
        <f>D132+D138</f>
        <v>0.1794</v>
      </c>
    </row>
    <row r="140" spans="1:6" x14ac:dyDescent="0.25">
      <c r="A140" s="72" t="s">
        <v>98</v>
      </c>
      <c r="B140" s="73"/>
      <c r="C140" s="74"/>
    </row>
    <row r="141" spans="1:6" x14ac:dyDescent="0.25">
      <c r="A141" s="75"/>
      <c r="B141" s="76"/>
      <c r="C141" s="77"/>
    </row>
    <row r="142" spans="1:6" ht="15" customHeight="1" x14ac:dyDescent="0.25">
      <c r="A142" s="64" t="s">
        <v>107</v>
      </c>
      <c r="B142" s="65"/>
      <c r="C142" s="66"/>
    </row>
    <row r="143" spans="1:6" x14ac:dyDescent="0.25">
      <c r="A143" s="64"/>
      <c r="B143" s="65"/>
      <c r="C143" s="66"/>
    </row>
    <row r="144" spans="1:6" x14ac:dyDescent="0.25">
      <c r="A144" s="64"/>
      <c r="B144" s="65"/>
      <c r="C144" s="66"/>
    </row>
    <row r="145" spans="1:3" x14ac:dyDescent="0.25">
      <c r="A145" s="67"/>
      <c r="B145" s="68"/>
      <c r="C145" s="69"/>
    </row>
    <row r="148" spans="1:3" x14ac:dyDescent="0.25">
      <c r="B148" s="59" t="s">
        <v>111</v>
      </c>
      <c r="C148" s="60"/>
    </row>
    <row r="149" spans="1:3" x14ac:dyDescent="0.25">
      <c r="A149" s="42"/>
      <c r="B149" s="47" t="s">
        <v>112</v>
      </c>
      <c r="C149" s="2">
        <f>$C$20</f>
        <v>820.05356623376611</v>
      </c>
    </row>
    <row r="150" spans="1:3" x14ac:dyDescent="0.25">
      <c r="A150" s="42"/>
      <c r="B150" s="47" t="s">
        <v>113</v>
      </c>
      <c r="C150" s="2">
        <f>$C$30</f>
        <v>320.70979999999997</v>
      </c>
    </row>
    <row r="151" spans="1:3" x14ac:dyDescent="0.25">
      <c r="A151" s="42"/>
      <c r="B151" s="47" t="s">
        <v>114</v>
      </c>
      <c r="C151" s="2">
        <f>$C$38</f>
        <v>20.666666666666668</v>
      </c>
    </row>
    <row r="152" spans="1:3" x14ac:dyDescent="0.25">
      <c r="A152" s="42"/>
      <c r="B152" s="47" t="s">
        <v>115</v>
      </c>
      <c r="C152" s="2">
        <f>$C$126</f>
        <v>417.56488041958772</v>
      </c>
    </row>
    <row r="153" spans="1:3" x14ac:dyDescent="0.25">
      <c r="B153" s="48" t="s">
        <v>117</v>
      </c>
      <c r="C153" s="24">
        <f>SUM(C149:C152)</f>
        <v>1578.9949133200207</v>
      </c>
    </row>
    <row r="154" spans="1:3" x14ac:dyDescent="0.25">
      <c r="B154" s="47" t="s">
        <v>118</v>
      </c>
      <c r="C154" s="8">
        <f>$C$139</f>
        <v>299.34880128222034</v>
      </c>
    </row>
    <row r="155" spans="1:3" x14ac:dyDescent="0.25">
      <c r="B155" s="43" t="s">
        <v>119</v>
      </c>
      <c r="C155" s="49">
        <f>C153+C154</f>
        <v>1878.3437146022411</v>
      </c>
    </row>
  </sheetData>
  <mergeCells count="43">
    <mergeCell ref="A132:B132"/>
    <mergeCell ref="A139:B139"/>
    <mergeCell ref="A140:C141"/>
    <mergeCell ref="A142:C145"/>
    <mergeCell ref="B148:C148"/>
    <mergeCell ref="M10:M13"/>
    <mergeCell ref="M15:M18"/>
    <mergeCell ref="A113:C117"/>
    <mergeCell ref="A118:C118"/>
    <mergeCell ref="A120:B120"/>
    <mergeCell ref="A72:B72"/>
    <mergeCell ref="A73:C75"/>
    <mergeCell ref="A84:B84"/>
    <mergeCell ref="A85:C86"/>
    <mergeCell ref="A87:C88"/>
    <mergeCell ref="A89:C91"/>
    <mergeCell ref="A55:C55"/>
    <mergeCell ref="A56:C56"/>
    <mergeCell ref="A57:C57"/>
    <mergeCell ref="A62:B62"/>
    <mergeCell ref="A64:B64"/>
    <mergeCell ref="A126:B126"/>
    <mergeCell ref="A128:D128"/>
    <mergeCell ref="A129:B129"/>
    <mergeCell ref="A100:B100"/>
    <mergeCell ref="A102:B102"/>
    <mergeCell ref="A103:C104"/>
    <mergeCell ref="A105:C107"/>
    <mergeCell ref="A108:C111"/>
    <mergeCell ref="A112:C112"/>
    <mergeCell ref="A65:C67"/>
    <mergeCell ref="A39:C39"/>
    <mergeCell ref="A41:D41"/>
    <mergeCell ref="A51:B51"/>
    <mergeCell ref="A52:C52"/>
    <mergeCell ref="A53:C53"/>
    <mergeCell ref="A54:C54"/>
    <mergeCell ref="A38:B38"/>
    <mergeCell ref="A9:D9"/>
    <mergeCell ref="A20:B20"/>
    <mergeCell ref="A22:F22"/>
    <mergeCell ref="A30:B30"/>
    <mergeCell ref="A32:C32"/>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Porteiro Matutino</vt:lpstr>
      <vt:lpstr>Porteiro Vespertino</vt:lpstr>
      <vt:lpstr>Porteiro Noturno</vt:lpstr>
      <vt:lpstr>Porteiro Folguista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Graziela Escoto da Luz</dc:creator>
  <cp:lastModifiedBy>priscilla Vaccaro</cp:lastModifiedBy>
  <dcterms:created xsi:type="dcterms:W3CDTF">2019-08-20T12:48:17Z</dcterms:created>
  <dcterms:modified xsi:type="dcterms:W3CDTF">2019-08-23T18:37:34Z</dcterms:modified>
</cp:coreProperties>
</file>